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gE7D1KE64gjqbZs3NdJ8Jp/+Od3C/xDViVkLWJQaMmfSDxBIDuAoWzYKeyC4Ga/fz3+8K2Q6vfXF6gq40uA3g==" workbookSaltValue="fFCNacEF2GgmHainnjJIi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30" i="14"/>
  <c r="G23" i="14"/>
  <c r="X32" i="20"/>
  <c r="BF17" i="8" l="1"/>
  <c r="BG16" i="8"/>
  <c r="K16" i="7" s="1"/>
  <c r="J29" i="2"/>
  <c r="Z14" i="17"/>
  <c r="R8" i="9"/>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H13" i="10"/>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H9" i="16" l="1"/>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AP17" i="20"/>
  <c r="BJ22" i="11"/>
  <c r="BG10" i="11"/>
  <c r="V11" i="16"/>
  <c r="V25" i="11"/>
  <c r="BF10" i="11"/>
  <c r="AZ18" i="11"/>
  <c r="AP21" i="20"/>
  <c r="BJ11" i="11"/>
  <c r="R10" i="21"/>
  <c r="R14" i="21" s="1"/>
  <c r="R31" i="21" s="1"/>
  <c r="BG16" i="11"/>
  <c r="BL13" i="11"/>
  <c r="BM16" i="11"/>
  <c r="AO28" i="17"/>
  <c r="BJ25" i="11"/>
  <c r="AZ16" i="11"/>
  <c r="AZ23" i="11" s="1"/>
  <c r="BU16" i="17"/>
  <c r="BW19" i="20"/>
  <c r="X20" i="16"/>
  <c r="BU10" i="17"/>
  <c r="BW25" i="20"/>
  <c r="BU22" i="17"/>
  <c r="X21" i="16"/>
  <c r="BU9" i="17"/>
  <c r="BU19" i="17"/>
  <c r="BW10" i="20"/>
  <c r="BV22" i="16"/>
  <c r="BU12" i="17"/>
  <c r="S25" i="17"/>
  <c r="AZ20" i="11"/>
  <c r="S11" i="14"/>
  <c r="V11" i="14" s="1"/>
  <c r="BG12" i="11"/>
  <c r="BI20" i="11"/>
  <c r="BI9" i="11"/>
  <c r="BL28" i="11"/>
  <c r="BL10" i="11"/>
  <c r="BH10" i="16"/>
  <c r="BH11" i="11"/>
  <c r="S18" i="17"/>
  <c r="BM9" i="11"/>
  <c r="Q9" i="11" s="1"/>
  <c r="BH12" i="16"/>
  <c r="BK22" i="11"/>
  <c r="BL17" i="11"/>
  <c r="BH22" i="11"/>
  <c r="L10" i="2"/>
  <c r="L28" i="2"/>
  <c r="X21" i="20"/>
  <c r="S16" i="17"/>
  <c r="S17" i="17"/>
  <c r="L12" i="2"/>
  <c r="L25" i="2"/>
  <c r="L13" i="2"/>
  <c r="X10" i="21"/>
  <c r="L19" i="2"/>
  <c r="U9" i="17"/>
  <c r="U31" i="17" s="1"/>
  <c r="L9" i="2"/>
  <c r="V25" i="16"/>
  <c r="X13" i="16"/>
  <c r="AP10" i="21"/>
  <c r="BH22" i="16"/>
  <c r="BV19" i="16"/>
  <c r="BV18" i="16"/>
  <c r="BW12" i="20"/>
  <c r="BW11" i="20"/>
  <c r="S21" i="17"/>
  <c r="BU13" i="17"/>
  <c r="BV9" i="16"/>
  <c r="AA18" i="16"/>
  <c r="AZ12" i="11"/>
  <c r="Q18" i="17"/>
  <c r="AO29" i="17"/>
  <c r="BJ17" i="11"/>
  <c r="BI21" i="11"/>
  <c r="L22" i="2"/>
  <c r="L29" i="2"/>
  <c r="L16" i="2"/>
  <c r="X19" i="16"/>
  <c r="L20" i="2"/>
  <c r="L21" i="2"/>
  <c r="AA9" i="16"/>
  <c r="BL19" i="11"/>
  <c r="BL23" i="11" s="1"/>
  <c r="BJ18" i="11"/>
  <c r="BM17" i="11"/>
  <c r="BF21" i="11"/>
  <c r="BF17" i="11"/>
  <c r="Q17" i="11" s="1"/>
  <c r="BL12" i="11"/>
  <c r="BK11" i="11"/>
  <c r="BH20" i="16"/>
  <c r="BJ20" i="11"/>
  <c r="BH13" i="11"/>
  <c r="BH18" i="11"/>
  <c r="BH23" i="11" s="1"/>
  <c r="T18" i="16"/>
  <c r="BL29" i="11"/>
  <c r="T16" i="16"/>
  <c r="BW20" i="20"/>
  <c r="BW18" i="20"/>
  <c r="BV12" i="16"/>
  <c r="BV16" i="16"/>
  <c r="BW28" i="20"/>
  <c r="BW21" i="20"/>
  <c r="AA29" i="16"/>
  <c r="AZ11" i="11"/>
  <c r="BH10" i="11"/>
  <c r="AQ10" i="21"/>
  <c r="S10" i="17"/>
  <c r="BI29" i="11"/>
  <c r="BG17" i="11"/>
  <c r="BM21" i="11"/>
  <c r="AO25" i="17"/>
  <c r="L17" i="2"/>
  <c r="L18" i="2"/>
  <c r="AA11" i="16"/>
  <c r="V9" i="16"/>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BF23" i="11"/>
  <c r="AQ17" i="11"/>
  <c r="AZ26" i="11"/>
  <c r="AZ14" i="11"/>
  <c r="AZ31" i="11"/>
  <c r="P13" i="11"/>
  <c r="Q13" i="11"/>
  <c r="BK14" i="11"/>
  <c r="BK31" i="11" s="1"/>
  <c r="Q23" i="17"/>
  <c r="Q31" i="17" s="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<sst xmlns="http://schemas.openxmlformats.org/spreadsheetml/2006/main" count="2668" uniqueCount="1185">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</sst>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whMJtOL1Y2wiass5mMsSG34DtQtO/GLbUsz1X/vsA1doPhAo6Nro7v2Ma2n0Dto7bs0g796JhcDlmvZF0iBAg==" saltValue="+NmV7rJqKbaBDztyO63x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3.2360406091370555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104</v>
      </c>
      <c r="F10" s="240">
        <f>IF(ISNUMBER(Datos!K10),Datos!K10," - ")</f>
        <v>97</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7.7777777777777779E-2</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104</v>
      </c>
      <c r="F14" s="1409">
        <f>SUBTOTAL(9,F9:F13)</f>
        <v>97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1681</v>
      </c>
      <c r="D16" s="239">
        <f>IF(ISNUMBER(IF(D_I="SI",Datos!I16,Datos!I16+Datos!AC16)),IF(D_I="SI",Datos!I16,Datos!I16+Datos!AC16)," - ")</f>
        <v>1604</v>
      </c>
      <c r="E16" s="240">
        <f>IF(ISNUMBER(IF(D_I="SI",Datos!J16,Datos!J16+Datos!AD16)),IF(D_I="SI",Datos!J16,Datos!J16+Datos!AD16)," - ")</f>
        <v>7465</v>
      </c>
      <c r="F16" s="240">
        <f>IF(ISNUMBER(IF(D_I="SI",Datos!K16,Datos!K16+Datos!AE16)),IF(D_I="SI",Datos!K16,Datos!K16+Datos!AE16)," - ")</f>
        <v>7335</v>
      </c>
      <c r="G16" s="1390" t="str">
        <f>IF(Datos!E16&lt;&gt;"",Datos!E16,Datos!D16)</f>
        <v>03</v>
      </c>
      <c r="H16" s="241">
        <f>IF(ISNUMBER(IF(D_I="SI",Datos!L16,Datos!L16+Datos!AF16)),IF(D_I="SI",Datos!L16,Datos!L16+Datos!AF16)," - ")</f>
        <v>1811</v>
      </c>
      <c r="I16" s="1400" t="str">
        <f>IF(ISNUMBER(Datos!AS16/Datos!BM16),Datos!AS16/Datos!BM16," - ")</f>
        <v xml:space="preserve"> - </v>
      </c>
      <c r="J16" s="1401">
        <f>IF(ISNUMBER(Datos!BY16/Datos!CN16),Datos!BY16/Datos!CN16," - ")</f>
        <v>0</v>
      </c>
      <c r="K16" s="244">
        <f t="shared" ref="K16:K22" si="3">IF(ISNUMBER((E16-F16)/C16),(E16-F16)/C16," - ")</f>
        <v>7.7334919690660323E-2</v>
      </c>
      <c r="L16" s="1402">
        <f>IF(ISNUMBER(NºAsuntos!I16/NºAsuntos!G16),(NºAsuntos!I16/NºAsuntos!G16)*11," - ")</f>
        <v>2.7158827539195638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18</v>
      </c>
      <c r="D17" s="239">
        <f>IF(ISNUMBER(IF(D_I="SI",Datos!I17,Datos!I17+Datos!AC17)),IF(D_I="SI",Datos!I17,Datos!I17+Datos!AC17)," - ")</f>
        <v>18</v>
      </c>
      <c r="E17" s="240">
        <f>IF(ISNUMBER(IF(D_I="SI",Datos!J17,Datos!J17+Datos!AD17)),IF(D_I="SI",Datos!J17,Datos!J17+Datos!AD17)," - ")</f>
        <v>0</v>
      </c>
      <c r="F17" s="240">
        <f>IF(ISNUMBER(IF(D_I="SI",Datos!K17,Datos!K17+Datos!AE17)),IF(D_I="SI",Datos!K17,Datos!K17+Datos!AE17)," - ")</f>
        <v>2</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-0.1111111111111111</v>
      </c>
      <c r="L17" s="1402">
        <f>IF(ISNUMBER(NºAsuntos!I17/NºAsuntos!G17),(NºAsuntos!I17/NºAsuntos!G17)*11," - ")</f>
        <v>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118</v>
      </c>
      <c r="E18" s="240">
        <f>IF(ISNUMBER(IF(D_I="SI",Datos!J18,Datos!J18+Datos!AD18)),IF(D_I="SI",Datos!J18,Datos!J18+Datos!AD18)," - ")</f>
        <v>1277</v>
      </c>
      <c r="F18" s="240">
        <f>IF(ISNUMBER(IF(D_I="SI",Datos!K18,Datos!K18+Datos!AE18)),IF(D_I="SI",Datos!K18,Datos!K18+Datos!AE18)," - ")</f>
        <v>1218</v>
      </c>
      <c r="G18" s="1390" t="str">
        <f>IF(Datos!E18&lt;&gt;"",Datos!E18,Datos!D18)</f>
        <v>37</v>
      </c>
      <c r="H18" s="241">
        <f>IF(ISNUMBER(IF(D_I="SI",Datos!L18,Datos!L18+Datos!AF18)),IF(D_I="SI",Datos!L18,Datos!L18+Datos!AF18)," - ")</f>
        <v>182</v>
      </c>
      <c r="I18" s="1400" t="str">
        <f>IF(ISNUMBER(Datos!AS18/Datos!BM18),Datos!AS18/Datos!BM18," - ")</f>
        <v xml:space="preserve"> - </v>
      </c>
      <c r="J18" s="1401" t="str">
        <f>IF(ISNUMBER((Datos!BY18+Datos!BZ18)/Datos!CN18),(Datos!BY18+Datos!BZ18)/Datos!CN18," - ")</f>
        <v xml:space="preserve"> - </v>
      </c>
      <c r="K18" s="244">
        <f t="shared" si="3"/>
        <v>0.47967479674796748</v>
      </c>
      <c r="L18" s="1402">
        <f>IF(ISNUMBER(NºAsuntos!I18/NºAsuntos!G18),(NºAsuntos!I18/NºAsuntos!G18)*11," - ")</f>
        <v>1.6436781609195403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1822</v>
      </c>
      <c r="D23" s="1407">
        <f>SUBTOTAL(9,D16:D22)</f>
        <v>1740</v>
      </c>
      <c r="E23" s="1408">
        <f>SUBTOTAL(9,E16:E22)</f>
        <v>8742</v>
      </c>
      <c r="F23" s="1408">
        <f>SUBTOTAL(9,F16:F22)</f>
        <v>8555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1912</v>
      </c>
      <c r="D31" s="1435">
        <f>SUBTOTAL(9,D9:D30)</f>
        <v>1830</v>
      </c>
      <c r="E31" s="1436">
        <f>SUBTOTAL(9,E9:E30)</f>
        <v>8846</v>
      </c>
      <c r="F31" s="1436">
        <f>SUBTOTAL(9,F9:F30)</f>
        <v>8652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gf6DSd3X7ThuOSAkoLFi7Mt4U70m6t+etUZpwSDNFXj50PnMPPkXbH6ulEBCtuqa6/qdm2y0SnB58QD5W5Hzg==" saltValue="q371b04fE5xnaFt3V4dp8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EG/T/LZH1+8nwD5Q9PKXInQ4ljfzOI6kppBOGiHFMCW8WPdrh9+/nOT7Yh6d/8ugK9Y3zcG0rPpPri2/BsOtw==" saltValue="nc8v05CGTHZF5TOdjYRJ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2979</v>
      </c>
      <c r="J9" s="194">
        <v>7427</v>
      </c>
      <c r="K9" s="194">
        <v>7800</v>
      </c>
      <c r="L9" s="194">
        <v>2445</v>
      </c>
      <c r="M9" s="194">
        <v>1892</v>
      </c>
      <c r="N9" s="194">
        <v>3615</v>
      </c>
      <c r="O9" s="194">
        <v>4021</v>
      </c>
      <c r="P9" s="194">
        <v>2042</v>
      </c>
      <c r="Q9" s="194">
        <v>1717</v>
      </c>
      <c r="R9" s="194">
        <v>7925</v>
      </c>
      <c r="S9" s="194">
        <v>3170</v>
      </c>
      <c r="T9" s="194">
        <v>6615</v>
      </c>
      <c r="U9" s="194">
        <v>6634</v>
      </c>
      <c r="V9" s="194">
        <v>2979</v>
      </c>
      <c r="W9" s="194">
        <v>1653</v>
      </c>
      <c r="X9" s="201">
        <v>2828</v>
      </c>
      <c r="Y9" s="204">
        <v>96</v>
      </c>
      <c r="Z9" s="194">
        <v>877</v>
      </c>
      <c r="AA9" s="194">
        <v>868</v>
      </c>
      <c r="AB9" s="194">
        <v>105</v>
      </c>
      <c r="AC9" s="194">
        <v>0</v>
      </c>
      <c r="AD9" s="194">
        <v>0</v>
      </c>
      <c r="AE9" s="194">
        <v>0</v>
      </c>
      <c r="AF9" s="201">
        <v>0</v>
      </c>
      <c r="AG9" s="204">
        <v>157</v>
      </c>
      <c r="AH9" s="194">
        <v>856</v>
      </c>
      <c r="AI9" s="194">
        <v>899</v>
      </c>
      <c r="AJ9" s="205">
        <v>96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3327</v>
      </c>
      <c r="AZ9" s="133">
        <f>IF(ISNUMBER(IF(J_V="SI",T9,T9+AH9)),IF(J_V="SI",T9,T9+AH9)," - ")</f>
        <v>7471</v>
      </c>
      <c r="BA9" s="134">
        <f>IF(ISNUMBER(IF(J_V="SI",U9,U9+AI9)),IF(J_V="SI",U9,U9+AI9)," - ")</f>
        <v>7533</v>
      </c>
      <c r="BB9" s="134">
        <f>IF(ISNUMBER(IF(J_V="SI",V9,V9+AJ9)),IF(J_V="SI",V9,V9+AJ9)," - ")</f>
        <v>3075</v>
      </c>
      <c r="BC9" s="135">
        <f>IF(ISNUMBER(X9),X9," - ")</f>
        <v>2828</v>
      </c>
      <c r="BD9" s="136">
        <f>IF(ISNUMBER(BA9/AZ9),BA9/AZ9," - ")</f>
        <v>1.008298755186722</v>
      </c>
      <c r="BE9" s="137">
        <f>IF(ISNUMBER(BB9/BA9),BB9/BA9, " - ")</f>
        <v>0.40820390282755875</v>
      </c>
      <c r="BF9" s="137">
        <f>IF(ISNUMBER(BC9/BA9),BC9/BA9, " - ")</f>
        <v>0.37541484136466213</v>
      </c>
      <c r="BG9" s="209">
        <f>IF(ISNUMBER((AY9+AZ9)/BA9),(AY9+AZ9)/BA9," - ")</f>
        <v>1.4334262577990176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104</v>
      </c>
      <c r="K10" s="194">
        <v>97</v>
      </c>
      <c r="L10" s="194">
        <v>97</v>
      </c>
      <c r="M10" s="194">
        <v>49</v>
      </c>
      <c r="N10" s="194">
        <v>41</v>
      </c>
      <c r="O10" s="194">
        <v>3</v>
      </c>
      <c r="P10" s="194">
        <v>13</v>
      </c>
      <c r="Q10" s="194">
        <v>7</v>
      </c>
      <c r="R10" s="194">
        <v>68</v>
      </c>
      <c r="S10" s="194">
        <v>92</v>
      </c>
      <c r="T10" s="194">
        <v>126</v>
      </c>
      <c r="U10" s="194">
        <v>128</v>
      </c>
      <c r="V10" s="194">
        <v>90</v>
      </c>
      <c r="W10" s="194">
        <v>62</v>
      </c>
      <c r="X10" s="201">
        <v>30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92</v>
      </c>
      <c r="AZ10" s="139">
        <f t="shared" si="0"/>
        <v>126</v>
      </c>
      <c r="BA10" s="139">
        <f t="shared" si="0"/>
        <v>128</v>
      </c>
      <c r="BB10" s="139">
        <f t="shared" si="0"/>
        <v>90</v>
      </c>
      <c r="BC10" s="135">
        <f t="shared" si="0"/>
        <v>62</v>
      </c>
      <c r="BD10" s="136">
        <f>IF(ISNUMBER(BA10/AZ10),BA10/AZ10," - ")</f>
        <v>1.0158730158730158</v>
      </c>
      <c r="BE10" s="137">
        <f>IF(ISNUMBER(BB10/BA10),BB10/BA10, " - ")</f>
        <v>0.703125</v>
      </c>
      <c r="BF10" s="137">
        <f>IF(ISNUMBER(BC10/BA10),BC10/BA10, " - ")</f>
        <v>0.484375</v>
      </c>
      <c r="BG10" s="209">
        <f>IF(ISNUMBER((AY10+AZ10)/BA10),(AY10+AZ10)/BA10," - ")</f>
        <v>1.703125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1078</v>
      </c>
      <c r="J12" s="196" t="s">
        <v>1065</v>
      </c>
      <c r="K12" s="196" t="s">
        <v>1141</v>
      </c>
      <c r="L12" s="196" t="s">
        <v>1083</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3069</v>
      </c>
      <c r="J14" s="197">
        <f t="shared" si="7"/>
        <v>7531</v>
      </c>
      <c r="K14" s="197">
        <f t="shared" si="7"/>
        <v>7897</v>
      </c>
      <c r="L14" s="197">
        <f t="shared" si="7"/>
        <v>2542</v>
      </c>
      <c r="M14" s="197">
        <f t="shared" si="7"/>
        <v>1941</v>
      </c>
      <c r="N14" s="197">
        <f t="shared" si="7"/>
        <v>3656</v>
      </c>
      <c r="O14" s="197">
        <f t="shared" si="7"/>
        <v>4024</v>
      </c>
      <c r="P14" s="197">
        <f t="shared" si="7"/>
        <v>2055</v>
      </c>
      <c r="Q14" s="197">
        <f t="shared" si="7"/>
        <v>1724</v>
      </c>
      <c r="R14" s="197">
        <f t="shared" si="7"/>
        <v>7993</v>
      </c>
      <c r="S14" s="197">
        <f t="shared" si="7"/>
        <v>3262</v>
      </c>
      <c r="T14" s="197">
        <f t="shared" si="7"/>
        <v>6741</v>
      </c>
      <c r="U14" s="197">
        <f t="shared" si="7"/>
        <v>6762</v>
      </c>
      <c r="V14" s="197">
        <f t="shared" si="7"/>
        <v>3069</v>
      </c>
      <c r="W14" s="197">
        <f t="shared" si="7"/>
        <v>1715</v>
      </c>
      <c r="X14" s="197">
        <f t="shared" si="7"/>
        <v>2858</v>
      </c>
      <c r="Y14" s="197">
        <f t="shared" si="7"/>
        <v>96</v>
      </c>
      <c r="Z14" s="197">
        <f t="shared" si="7"/>
        <v>877</v>
      </c>
      <c r="AA14" s="197">
        <f t="shared" si="7"/>
        <v>868</v>
      </c>
      <c r="AB14" s="197">
        <f t="shared" si="7"/>
        <v>105</v>
      </c>
      <c r="AC14" s="197">
        <f t="shared" si="7"/>
        <v>0</v>
      </c>
      <c r="AD14" s="197">
        <f t="shared" si="7"/>
        <v>0</v>
      </c>
      <c r="AE14" s="197">
        <f t="shared" si="7"/>
        <v>0</v>
      </c>
      <c r="AF14" s="197">
        <f>SUBTOTAL(9,AF9:AF13)</f>
        <v>0</v>
      </c>
      <c r="AG14" s="197">
        <f t="shared" ref="AG14:AT14" si="8">SUBTOTAL(9,AG8:AG13)</f>
        <v>157</v>
      </c>
      <c r="AH14" s="197">
        <f t="shared" si="8"/>
        <v>856</v>
      </c>
      <c r="AI14" s="197">
        <f t="shared" si="8"/>
        <v>899</v>
      </c>
      <c r="AJ14" s="197">
        <f t="shared" si="8"/>
        <v>96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3419</v>
      </c>
      <c r="AZ14" s="197">
        <f>SUBTOTAL(9,AZ8:AZ13)</f>
        <v>7597</v>
      </c>
      <c r="BA14" s="197">
        <f>SUBTOTAL(9,BA8:BA13)</f>
        <v>7661</v>
      </c>
      <c r="BB14" s="197">
        <f>SUBTOTAL(9,BB8:BB13)</f>
        <v>3165</v>
      </c>
      <c r="BC14" s="197">
        <f>SUBTOTAL(9,BC8:BC13)</f>
        <v>2890</v>
      </c>
      <c r="BD14" s="219">
        <f>IF(ISNUMBER(BA14/AZ14),BA14/AZ14," - ")</f>
        <v>1.0084243780439648</v>
      </c>
      <c r="BE14" s="220">
        <f>IF(ISNUMBER(BB14/BA14),BB14/BA14, " - ")</f>
        <v>0.41313144498107296</v>
      </c>
      <c r="BF14" s="220">
        <f>IF(ISNUMBER(BC14/BA14),BC14/BA14, " - ")</f>
        <v>0.37723534786581386</v>
      </c>
      <c r="BG14" s="221">
        <f>IF(ISNUMBER((AY14+AZ14)/BA14),(AY14+AZ14)/BA14," - ")</f>
        <v>1.4379323848061611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1604</v>
      </c>
      <c r="J16" s="196">
        <v>7465</v>
      </c>
      <c r="K16" s="196">
        <v>7335</v>
      </c>
      <c r="L16" s="196">
        <v>1811</v>
      </c>
      <c r="M16" s="196">
        <v>1242</v>
      </c>
      <c r="N16" s="196">
        <v>3997</v>
      </c>
      <c r="O16" s="194">
        <v>198</v>
      </c>
      <c r="P16" s="196">
        <v>338</v>
      </c>
      <c r="Q16" s="196">
        <v>412</v>
      </c>
      <c r="R16" s="196">
        <v>254</v>
      </c>
      <c r="S16" s="196">
        <v>2078</v>
      </c>
      <c r="T16" s="196">
        <v>6607</v>
      </c>
      <c r="U16" s="196">
        <v>7211</v>
      </c>
      <c r="V16" s="196">
        <v>1604</v>
      </c>
      <c r="W16" s="196">
        <v>1379</v>
      </c>
      <c r="X16" s="202">
        <v>3800</v>
      </c>
      <c r="Y16" s="215">
        <v>0</v>
      </c>
      <c r="Z16" s="196">
        <v>0</v>
      </c>
      <c r="AA16" s="196">
        <v>0</v>
      </c>
      <c r="AB16" s="196">
        <v>0</v>
      </c>
      <c r="AC16" s="196">
        <v>0</v>
      </c>
      <c r="AD16" s="196">
        <v>3</v>
      </c>
      <c r="AE16" s="196">
        <v>3</v>
      </c>
      <c r="AF16" s="202">
        <v>0</v>
      </c>
      <c r="AG16" s="215">
        <v>0</v>
      </c>
      <c r="AH16" s="196">
        <v>0</v>
      </c>
      <c r="AI16" s="196">
        <v>0</v>
      </c>
      <c r="AJ16" s="216">
        <v>0</v>
      </c>
      <c r="AK16" s="195">
        <v>0</v>
      </c>
      <c r="AL16" s="196">
        <v>5</v>
      </c>
      <c r="AM16" s="196">
        <v>5</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2078</v>
      </c>
      <c r="AZ16" s="139">
        <f t="shared" si="10"/>
        <v>6607</v>
      </c>
      <c r="BA16" s="139">
        <f t="shared" si="10"/>
        <v>7211</v>
      </c>
      <c r="BB16" s="139">
        <f t="shared" si="10"/>
        <v>1604</v>
      </c>
      <c r="BC16" s="135">
        <f>IF(ISNUMBER(W16),W16," - ")</f>
        <v>1379</v>
      </c>
      <c r="BD16" s="136">
        <f>IF(ISNUMBER(BA16/AZ16),BA16/AZ16," - ")</f>
        <v>1.0914181928257909</v>
      </c>
      <c r="BE16" s="137">
        <f>IF(ISNUMBER(BB16/BA16),BB16/BA16, " - ")</f>
        <v>0.22243794203300513</v>
      </c>
      <c r="BF16" s="137">
        <f>IF(ISNUMBER(BC16/BA16),BC16/BA16, " - ")</f>
        <v>0.19123561225904867</v>
      </c>
      <c r="BG16" s="209">
        <f t="shared" ref="BG16:BG22" si="11">IF(ISNUMBER((AY16+AZ16)/BA16),(AY16+AZ16)/BA16," - ")</f>
        <v>1.2044099292747192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v>
      </c>
      <c r="J17" s="196">
        <v>0</v>
      </c>
      <c r="K17" s="196">
        <v>2</v>
      </c>
      <c r="L17" s="196">
        <v>16</v>
      </c>
      <c r="M17" s="196">
        <v>0</v>
      </c>
      <c r="N17" s="196">
        <v>2</v>
      </c>
      <c r="O17" s="194">
        <v>0</v>
      </c>
      <c r="P17" s="196">
        <v>0</v>
      </c>
      <c r="Q17" s="196">
        <v>0</v>
      </c>
      <c r="R17" s="196">
        <v>45</v>
      </c>
      <c r="S17" s="196">
        <v>19</v>
      </c>
      <c r="T17" s="196">
        <v>0</v>
      </c>
      <c r="U17" s="196">
        <v>1</v>
      </c>
      <c r="V17" s="196">
        <v>18</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19</v>
      </c>
      <c r="AZ17" s="137">
        <f t="shared" si="10"/>
        <v>0</v>
      </c>
      <c r="BA17" s="137">
        <f t="shared" si="10"/>
        <v>1</v>
      </c>
      <c r="BB17" s="137">
        <f t="shared" si="10"/>
        <v>18</v>
      </c>
      <c r="BC17" s="135">
        <f>IF(ISNUMBER(W17),W17," - ")</f>
        <v>0</v>
      </c>
      <c r="BD17" s="136" t="str">
        <f t="shared" ref="BD17:BD22" si="12">IF(ISNUMBER(BA17/AZ17),BA17/AZ17," - ")</f>
        <v xml:space="preserve"> - </v>
      </c>
      <c r="BE17" s="137">
        <f t="shared" ref="BE17:BE22" si="13">IF(ISNUMBER(BB17/BA17),BB17/BA17, " - ")</f>
        <v>18</v>
      </c>
      <c r="BF17" s="137">
        <f t="shared" ref="BF17:BF22" si="14">IF(ISNUMBER(BC17/BA17),BC17/BA17, " - ")</f>
        <v>0</v>
      </c>
      <c r="BG17" s="209">
        <f t="shared" si="11"/>
        <v>19</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118</v>
      </c>
      <c r="J18" s="196">
        <v>1277</v>
      </c>
      <c r="K18" s="196">
        <v>1218</v>
      </c>
      <c r="L18" s="196">
        <v>182</v>
      </c>
      <c r="M18" s="196">
        <v>240</v>
      </c>
      <c r="N18" s="196">
        <v>589</v>
      </c>
      <c r="O18" s="196">
        <v>12</v>
      </c>
      <c r="P18" s="196">
        <v>49</v>
      </c>
      <c r="Q18" s="196">
        <v>37</v>
      </c>
      <c r="R18" s="196">
        <v>18</v>
      </c>
      <c r="S18" s="196">
        <v>363</v>
      </c>
      <c r="T18" s="196">
        <v>1026</v>
      </c>
      <c r="U18" s="196">
        <v>1059</v>
      </c>
      <c r="V18" s="196">
        <v>118</v>
      </c>
      <c r="W18" s="196">
        <v>209</v>
      </c>
      <c r="X18" s="202">
        <v>508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363</v>
      </c>
      <c r="AZ18" s="139">
        <f t="shared" si="15"/>
        <v>1026</v>
      </c>
      <c r="BA18" s="139">
        <f t="shared" si="15"/>
        <v>1059</v>
      </c>
      <c r="BB18" s="139">
        <f t="shared" si="15"/>
        <v>118</v>
      </c>
      <c r="BC18" s="135">
        <f>IF(ISNUMBER(W18),W18," - ")</f>
        <v>209</v>
      </c>
      <c r="BD18" s="136">
        <f>IF(ISNUMBER(BA18/AZ18),BA18/AZ18," - ")</f>
        <v>1.0321637426900585</v>
      </c>
      <c r="BE18" s="137">
        <f>IF(ISNUMBER(BB18/BA18),BB18/BA18, " - ")</f>
        <v>0.11142587346553352</v>
      </c>
      <c r="BF18" s="137">
        <f>IF(ISNUMBER(BC18/BA18),BC18/BA18, " - ")</f>
        <v>0.19735599622285174</v>
      </c>
      <c r="BG18" s="209">
        <f>IF(ISNUMBER((AY18+AZ18)/BA18),(AY18+AZ18)/BA18," - ")</f>
        <v>1.3116147308781869</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1740</v>
      </c>
      <c r="J23" s="197">
        <f t="shared" si="21"/>
        <v>8742</v>
      </c>
      <c r="K23" s="197">
        <f t="shared" si="21"/>
        <v>8555</v>
      </c>
      <c r="L23" s="197">
        <f t="shared" si="21"/>
        <v>2009</v>
      </c>
      <c r="M23" s="197">
        <f t="shared" si="21"/>
        <v>1482</v>
      </c>
      <c r="N23" s="197">
        <f t="shared" si="21"/>
        <v>4588</v>
      </c>
      <c r="O23" s="197">
        <f t="shared" si="21"/>
        <v>210</v>
      </c>
      <c r="P23" s="197">
        <f t="shared" si="21"/>
        <v>387</v>
      </c>
      <c r="Q23" s="197">
        <f t="shared" si="21"/>
        <v>449</v>
      </c>
      <c r="R23" s="197">
        <f t="shared" si="21"/>
        <v>317</v>
      </c>
      <c r="S23" s="197">
        <f t="shared" si="21"/>
        <v>2460</v>
      </c>
      <c r="T23" s="197">
        <f t="shared" si="21"/>
        <v>7633</v>
      </c>
      <c r="U23" s="197">
        <f t="shared" si="21"/>
        <v>8271</v>
      </c>
      <c r="V23" s="197">
        <f t="shared" si="21"/>
        <v>1740</v>
      </c>
      <c r="W23" s="197">
        <f t="shared" si="21"/>
        <v>1588</v>
      </c>
      <c r="X23" s="197">
        <f t="shared" si="21"/>
        <v>4309</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2460</v>
      </c>
      <c r="AZ23" s="197">
        <f>SUBTOTAL(9,AZ15:AZ22)</f>
        <v>7633</v>
      </c>
      <c r="BA23" s="197">
        <f>SUBTOTAL(9,BA15:BA22)</f>
        <v>8271</v>
      </c>
      <c r="BB23" s="197">
        <f>SUBTOTAL(9,BB15:BB22)</f>
        <v>1740</v>
      </c>
      <c r="BC23" s="197">
        <f>SUBTOTAL(9,BC15:BC22)</f>
        <v>1588</v>
      </c>
      <c r="BD23" s="219">
        <f>IF(ISNUMBER(BA23/AZ23),BA23/AZ23," - ")</f>
        <v>1.0835844360015721</v>
      </c>
      <c r="BE23" s="220">
        <f>IF(ISNUMBER(BB23/BA23),BB23/BA23, " - ")</f>
        <v>0.21037359448676096</v>
      </c>
      <c r="BF23" s="220">
        <f>IF(ISNUMBER(BC23/BA23),BC23/BA23, " - ")</f>
        <v>0.19199613106033128</v>
      </c>
      <c r="BG23" s="221">
        <f>IF(ISNUMBER((AY23+AZ23)/BA23),(AY23+AZ23)/BA23," - ")</f>
        <v>1.2202877523878612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4809</v>
      </c>
      <c r="J31" s="144">
        <f t="shared" si="36"/>
        <v>16273</v>
      </c>
      <c r="K31" s="144">
        <f t="shared" si="36"/>
        <v>16452</v>
      </c>
      <c r="L31" s="144">
        <f t="shared" si="36"/>
        <v>4551</v>
      </c>
      <c r="M31" s="144">
        <f t="shared" si="36"/>
        <v>3423</v>
      </c>
      <c r="N31" s="144">
        <f t="shared" si="36"/>
        <v>8244</v>
      </c>
      <c r="O31" s="144">
        <f t="shared" si="36"/>
        <v>4234</v>
      </c>
      <c r="P31" s="144">
        <f t="shared" si="36"/>
        <v>2442</v>
      </c>
      <c r="Q31" s="144">
        <f t="shared" si="36"/>
        <v>2173</v>
      </c>
      <c r="R31" s="144">
        <f t="shared" si="36"/>
        <v>8310</v>
      </c>
      <c r="S31" s="144">
        <f t="shared" si="36"/>
        <v>5722</v>
      </c>
      <c r="T31" s="144">
        <f t="shared" si="36"/>
        <v>14374</v>
      </c>
      <c r="U31" s="144">
        <f t="shared" si="36"/>
        <v>15033</v>
      </c>
      <c r="V31" s="144">
        <f t="shared" si="36"/>
        <v>4809</v>
      </c>
      <c r="W31" s="144">
        <f t="shared" si="36"/>
        <v>3303</v>
      </c>
      <c r="X31" s="144">
        <f t="shared" si="36"/>
        <v>7167</v>
      </c>
      <c r="Y31" s="144">
        <f t="shared" si="36"/>
        <v>96</v>
      </c>
      <c r="Z31" s="144">
        <f t="shared" si="36"/>
        <v>877</v>
      </c>
      <c r="AA31" s="144">
        <f t="shared" si="36"/>
        <v>868</v>
      </c>
      <c r="AB31" s="144">
        <f t="shared" si="36"/>
        <v>105</v>
      </c>
      <c r="AC31" s="144">
        <f t="shared" si="36"/>
        <v>0</v>
      </c>
      <c r="AD31" s="144">
        <f t="shared" si="36"/>
        <v>3</v>
      </c>
      <c r="AE31" s="144">
        <f t="shared" si="36"/>
        <v>3</v>
      </c>
      <c r="AF31" s="144">
        <f t="shared" si="36"/>
        <v>0</v>
      </c>
      <c r="AG31" s="144">
        <f t="shared" si="36"/>
        <v>157</v>
      </c>
      <c r="AH31" s="144">
        <f t="shared" si="36"/>
        <v>856</v>
      </c>
      <c r="AI31" s="144">
        <f t="shared" si="36"/>
        <v>899</v>
      </c>
      <c r="AJ31" s="144">
        <f t="shared" si="36"/>
        <v>96</v>
      </c>
      <c r="AK31" s="144">
        <f t="shared" si="36"/>
        <v>0</v>
      </c>
      <c r="AL31" s="144">
        <f t="shared" si="36"/>
        <v>5</v>
      </c>
      <c r="AM31" s="144">
        <f t="shared" si="36"/>
        <v>5</v>
      </c>
      <c r="AN31" s="224">
        <f t="shared" si="36"/>
        <v>0</v>
      </c>
      <c r="AO31" s="225">
        <v>10</v>
      </c>
      <c r="AP31" s="225">
        <v>10</v>
      </c>
      <c r="AQ31" s="225">
        <v>10</v>
      </c>
      <c r="AR31" s="225">
        <v>10</v>
      </c>
      <c r="AS31" s="166">
        <f t="shared" si="36"/>
        <v>0</v>
      </c>
      <c r="AT31" s="166">
        <f t="shared" si="36"/>
        <v>0</v>
      </c>
      <c r="AU31" s="225"/>
      <c r="AV31" s="226"/>
      <c r="AW31" s="225"/>
      <c r="AX31" s="226"/>
      <c r="AY31" s="143">
        <f>SUBTOTAL(9,AY9:AY30)</f>
        <v>5879</v>
      </c>
      <c r="AZ31" s="144">
        <f>SUBTOTAL(9,AZ9:AZ30)</f>
        <v>15230</v>
      </c>
      <c r="BA31" s="144">
        <f>SUBTOTAL(9,BA9:BA30)</f>
        <v>15932</v>
      </c>
      <c r="BB31" s="144">
        <f>SUBTOTAL(9,BB9:BB30)</f>
        <v>4905</v>
      </c>
      <c r="BC31" s="145">
        <f>SUBTOTAL(9,BC9:BC30)</f>
        <v>4478</v>
      </c>
      <c r="BD31" s="227">
        <f>IF(ISNUMBER(BA31/AZ31),BA31/AZ31," - ")</f>
        <v>1.0460932370321734</v>
      </c>
      <c r="BE31" s="224">
        <f>IF(ISNUMBER(BB31/BA31),BB31/BA31, " - ")</f>
        <v>0.30787095154406224</v>
      </c>
      <c r="BF31" s="224">
        <f>IF(ISNUMBER(BC31/BA31),BC31/BA31, " - ")</f>
        <v>0.28106954556866681</v>
      </c>
      <c r="BG31" s="145">
        <f>IF(ISNUMBER((AY31+AZ31)/BA31),(AY31+AZ31)/BA31," - ")</f>
        <v>1.3249435099171478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JrRkbVpCZ3fXJyCtjs3LiH9xC4UVgq8XtP4/BUWAzhinPuBI6FplXVbe1tTYIT2GV192OE3gyJ7wqIAiSREVg==" saltValue="U9vNc53Nl6qPiUbzFubJ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Qrx1eY7J7g+eufQztI/ZZEY6siNJpZBJYu+NABA618g4fKJ+j7u+tqmGUUT/Ok06tUCQSMDO/SZKNH+3CGvw==" saltValue="AxIa3rTfORaMjy8VtY4g5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DENIA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877</v>
      </c>
      <c r="O9" s="549"/>
      <c r="P9" s="549"/>
      <c r="Q9" s="547">
        <f>IF(ISNUMBER(Datos!P9),Datos!P9,0)</f>
        <v>2042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105</v>
      </c>
      <c r="AI9" s="549" t="str">
        <f>IF(ISNUMBER(Datos!CD9),Datos!CD9,"-")</f>
        <v>-</v>
      </c>
      <c r="AJ9" s="549" t="str">
        <f>IF(ISNUMBER(Datos!EN9),Datos!EN9," - ")</f>
        <v xml:space="preserve"> - </v>
      </c>
      <c r="AK9" s="549"/>
      <c r="AL9" s="550"/>
      <c r="AM9" s="766">
        <f>IF(ISNUMBER(Datos!R9),Datos!R9," - ")</f>
        <v>7925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1892</v>
      </c>
      <c r="BD9" s="693">
        <f>IF(ISNUMBER(Datos!N9),Datos!N9," - ")</f>
        <v>3615</v>
      </c>
      <c r="BE9" s="693" t="str">
        <f>IF(ISNUMBER(Datos!BW9),Datos!BW9," - ")</f>
        <v xml:space="preserve"> - </v>
      </c>
      <c r="BF9" s="762" t="str">
        <f>IF(ISNUMBER(Datos!BX9),Datos!BX9," - ")</f>
        <v xml:space="preserve"> - </v>
      </c>
      <c r="BG9" s="763">
        <f>IF(ISNUMBER(IF(J_V="SI",Datos!K9/Datos!J9,(Datos!K9+Datos!AA9)/(Datos!J9+Datos!Z9))),IF(J_V="SI",Datos!K9/Datos!J9,(Datos!K9+Datos!AA9)/(Datos!J9+Datos!Z9))," - ")</f>
        <v>1.04383429672447</v>
      </c>
      <c r="BH9" s="764">
        <f>IF(ISNUMBER(((IF(J_V="SI",Datos!L9/Datos!K9,(Datos!L9+Datos!AB9)/(Datos!K9+Datos!AA9)))*11)/factor_trimestre),((IF(J_V="SI",Datos!L9/Datos!K9,(Datos!L9+Datos!AB9)/(Datos!K9+Datos!AA9)))*11)/factor_trimestre," - ")</f>
        <v>3.2360406091370555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4.2763157894736843E-2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97</v>
      </c>
      <c r="AC10" s="547">
        <f>IF(ISNUMBER(Datos!Q10),Datos!Q10," - ")</f>
        <v>7</v>
      </c>
      <c r="AD10" s="549"/>
      <c r="AE10" s="563"/>
      <c r="AF10" s="551">
        <f>IF(ISNUMBER(Datos!L10),Datos!L10,"-")</f>
        <v>97</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49</v>
      </c>
      <c r="BD10" s="693">
        <f>IF(ISNUMBER(Datos!N10),Datos!N10," - ")</f>
        <v>41</v>
      </c>
      <c r="BE10" s="693" t="str">
        <f>IF(ISNUMBER(Datos!BW10),Datos!BW10," - ")</f>
        <v xml:space="preserve"> - </v>
      </c>
      <c r="BF10" s="762" t="str">
        <f>IF(ISNUMBER(Datos!BX10),Datos!BX10," - ")</f>
        <v xml:space="preserve"> - </v>
      </c>
      <c r="BG10" s="763">
        <f>IF(ISNUMBER(Datos!K10/Datos!J10),Datos!K10/Datos!J10," - ")</f>
        <v>0.93269230769230771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9.6774193548387094E-2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877</v>
      </c>
      <c r="O14" s="1199">
        <f t="shared" si="1"/>
        <v>0</v>
      </c>
      <c r="P14" s="1199">
        <f t="shared" si="1"/>
        <v>0</v>
      </c>
      <c r="Q14" s="1198">
        <f t="shared" si="1"/>
        <v>2055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97</v>
      </c>
      <c r="AC14" s="1198">
        <f t="shared" si="2"/>
        <v>1724</v>
      </c>
      <c r="AD14" s="1198">
        <f t="shared" si="2"/>
        <v>0</v>
      </c>
      <c r="AE14" s="1198">
        <f t="shared" si="2"/>
        <v>0</v>
      </c>
      <c r="AF14" s="1198">
        <f t="shared" si="2"/>
        <v>97</v>
      </c>
      <c r="AG14" s="1198">
        <f t="shared" si="2"/>
        <v>0</v>
      </c>
      <c r="AH14" s="1198">
        <f t="shared" si="2"/>
        <v>105</v>
      </c>
      <c r="AI14" s="1198">
        <f t="shared" si="2"/>
        <v>0</v>
      </c>
      <c r="AJ14" s="1198">
        <f t="shared" si="2"/>
        <v>0</v>
      </c>
      <c r="AK14" s="1198">
        <f t="shared" si="2"/>
        <v>0</v>
      </c>
      <c r="AL14" s="1198">
        <f t="shared" si="2"/>
        <v>0</v>
      </c>
      <c r="AM14" s="1198">
        <f t="shared" si="2"/>
        <v>7993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1941</v>
      </c>
      <c r="BD14" s="1198">
        <f t="shared" si="2"/>
        <v>3656</v>
      </c>
      <c r="BE14" s="1198">
        <f t="shared" si="2"/>
        <v>0</v>
      </c>
      <c r="BF14" s="1198">
        <f t="shared" si="2"/>
        <v>0</v>
      </c>
      <c r="BG14" s="1198">
        <f>IF(ISNUMBER(Datos!K14/Datos!J14),Datos!K14/Datos!J14," - ")</f>
        <v>1.0485991236223609</v>
      </c>
      <c r="BH14" s="1202">
        <f>IF(ISNUMBER(((Datos!L14/Datos!K14)*11)/factor_trimestre),((Datos!L14/Datos!K14)*11)/factor_trimestre," - ")</f>
        <v>3.5408382930226669</v>
      </c>
      <c r="BI14" s="1198">
        <f>IF(ISNUMBER('Resol  Asuntos'!D14/NºAsuntos!G14),'Resol  Asuntos'!D14/NºAsuntos!G14," - ")</f>
        <v>0.22144894466628637</v>
      </c>
      <c r="BJ14" s="1198" t="str">
        <f>IF(ISNUMBER(Datos!CI14/Datos!CJ14),Datos!CI14/Datos!CJ14," - ")</f>
        <v xml:space="preserve"> - </v>
      </c>
      <c r="BK14" s="1198">
        <f>SUBTOTAL(9,BK8:BK13)</f>
        <v>0</v>
      </c>
      <c r="BL14" s="1198">
        <f>IF(ISNUMBER((I14-AB14+L14)/(F14)),(I14-AB14+L14)/(F14)," - ")</f>
        <v>-1.0777777777777777</v>
      </c>
      <c r="BM14" s="1203">
        <f>SUBTOTAL(9,BM9:BM13)</f>
        <v>0.13953735144312393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1681</v>
      </c>
      <c r="G16" s="743">
        <f>IF(ISNUMBER(IF(D_I="SI",Datos!I16,Datos!I16+Datos!AC16)),IF(D_I="SI",Datos!I16,Datos!I16+Datos!AC16)," - ")</f>
        <v>1604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338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7335</v>
      </c>
      <c r="AC16" s="240">
        <f>IF(ISNUMBER(Datos!Q16),Datos!Q16," - ")</f>
        <v>412</v>
      </c>
      <c r="AD16" s="374"/>
      <c r="AE16" s="562"/>
      <c r="AF16" s="741">
        <f>IF(ISNUMBER(IF(D_I="SI",Datos!L16,Datos!L16+Datos!AF16)),IF(D_I="SI",Datos!L16,Datos!L16+Datos!AF16)," - ")</f>
        <v>1811</v>
      </c>
      <c r="AG16" s="374"/>
      <c r="AH16" s="374"/>
      <c r="AI16" s="374"/>
      <c r="AJ16" s="549"/>
      <c r="AK16" s="374"/>
      <c r="AL16" s="545"/>
      <c r="AM16" s="375">
        <f>IF(ISNUMBER(Datos!R16),Datos!R16," - ")</f>
        <v>254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1242</v>
      </c>
      <c r="BD16" s="243">
        <f>IF(ISNUMBER(Datos!N16),Datos!N16," - ")</f>
        <v>3997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0.98258539852645677</v>
      </c>
      <c r="BH16" s="764">
        <f>IF(ISNUMBER(((IF(D_I="SI",Datos!L16/Datos!K16,(Datos!L16+Datos!AF16)/(Datos!K16+Datos!AE16)))*11)/factor_trimestre),((IF(D_I="SI",Datos!L16/Datos!K16,(Datos!L16+Datos!AF16)/(Datos!K16+Datos!AE16)))*11)/factor_trimestre," - ")</f>
        <v>2.7158827539195638</v>
      </c>
      <c r="BI16" s="266">
        <f>IF(ISNUMBER('Resol  Asuntos'!D16/NºAsuntos!G16),'Resol  Asuntos'!D16/NºAsuntos!G16," - ")</f>
        <v>0.16932515337423312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18</v>
      </c>
      <c r="G17" s="743">
        <f>IF(ISNUMBER(IF(D_I="SI",Datos!I17,Datos!I17+Datos!AC17)),IF(D_I="SI",Datos!I17,Datos!I17+Datos!AC17)," - ")</f>
        <v>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2</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88</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1218</v>
      </c>
      <c r="AC18" s="547">
        <f>IF(ISNUMBER(Datos!Q18),Datos!Q18," - ")</f>
        <v>37</v>
      </c>
      <c r="AD18" s="549"/>
      <c r="AE18" s="562"/>
      <c r="AF18" s="551">
        <f>IF(ISNUMBER(Datos!L18),Datos!L18,"-")</f>
        <v>182</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240</v>
      </c>
      <c r="BD18" s="693">
        <f>IF(ISNUMBER(Datos!N18),Datos!N18," - ")</f>
        <v>589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0.95379796397807359</v>
      </c>
      <c r="BH18" s="764">
        <f>IF(ISNUMBER(((IF(D_I="SI",Datos!L18/Datos!K18,(Datos!L18+Datos!AF18)/(Datos!K18+Datos!AE18)))*11)/factor_trimestre),((IF(D_I="SI",Datos!L18/Datos!K18,(Datos!L18+Datos!AF18)/(Datos!K18+Datos!AE18)))*11)/factor_trimestre," - ")</f>
        <v>1.6436781609195403</v>
      </c>
      <c r="BI18" s="763">
        <f>IF(ISNUMBER('Resol  Asuntos'!D18/NºAsuntos!G18),'Resol  Asuntos'!D18/NºAsuntos!G18," - ")</f>
        <v>0.19704433497536947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1699</v>
      </c>
      <c r="G23" s="1197">
        <f>SUBTOTAL(9,G16:G22)</f>
        <v>1740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8555</v>
      </c>
      <c r="AC23" s="1198">
        <f t="shared" si="5"/>
        <v>449</v>
      </c>
      <c r="AD23" s="1198">
        <f t="shared" si="5"/>
        <v>0</v>
      </c>
      <c r="AE23" s="1198">
        <f t="shared" si="5"/>
        <v>0</v>
      </c>
      <c r="AF23" s="1198">
        <f t="shared" si="5"/>
        <v>2009</v>
      </c>
      <c r="AG23" s="1198">
        <f t="shared" si="5"/>
        <v>0</v>
      </c>
      <c r="AH23" s="1198">
        <f t="shared" si="5"/>
        <v>0</v>
      </c>
      <c r="AI23" s="1198">
        <f t="shared" si="5"/>
        <v>0</v>
      </c>
      <c r="AJ23" s="1198">
        <f t="shared" si="5"/>
        <v>0</v>
      </c>
      <c r="AK23" s="1198">
        <f t="shared" si="5"/>
        <v>0</v>
      </c>
      <c r="AL23" s="1198">
        <f t="shared" si="5"/>
        <v>0</v>
      </c>
      <c r="AM23" s="1198">
        <f t="shared" si="5"/>
        <v>317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1482</v>
      </c>
      <c r="BD23" s="1198">
        <f t="shared" si="5"/>
        <v>4588</v>
      </c>
      <c r="BE23" s="1198">
        <f t="shared" si="5"/>
        <v>0</v>
      </c>
      <c r="BF23" s="1198">
        <f t="shared" si="5"/>
        <v>0</v>
      </c>
      <c r="BG23" s="1198">
        <f>IF(ISNUMBER(Datos!K23/Datos!J23),Datos!K23/Datos!J23," - ")</f>
        <v>0.97860901395561661</v>
      </c>
      <c r="BH23" s="1202">
        <f>IF(ISNUMBER(((Datos!L23/Datos!K23)*11)/factor_trimestre),((Datos!L23/Datos!K23)*11)/factor_trimestre," - ")</f>
        <v>2.5831677381648159</v>
      </c>
      <c r="BI23" s="1198">
        <f>SUBTOTAL(9,BI16:BI22)</f>
        <v>0.36636948834960259</v>
      </c>
      <c r="BJ23" s="1198">
        <f>SUBTOTAL(9,BJ16:BJ22)</f>
        <v>0</v>
      </c>
      <c r="BK23" s="1198">
        <f>SUBTOTAL(9,BK16:BK22)</f>
        <v>0</v>
      </c>
      <c r="BL23" s="1198">
        <f>IF(ISNUMBER((I23-AB23+L23)/(F23)),(I23-AB23+L23)/(F23)," - ")</f>
        <v>-5.035314891112419</v>
      </c>
      <c r="BM23" s="1205">
        <f>IF(ISNUMBER((Datos!P23-Datos!Q23)/(Datos!R23-Datos!P23+Datos!Q23)),(Datos!P23-Datos!Q23)/(Datos!R23-Datos!P23+Datos!Q23)," - ")</f>
        <v>-0.16358839050131926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11</v>
      </c>
      <c r="F31" s="1117">
        <f t="shared" si="18"/>
        <v>1789</v>
      </c>
      <c r="G31" s="1117">
        <f t="shared" si="18"/>
        <v>1830</v>
      </c>
      <c r="H31" s="1119">
        <f t="shared" si="18"/>
        <v>0</v>
      </c>
      <c r="I31" s="1117">
        <f t="shared" si="18"/>
        <v>0</v>
      </c>
      <c r="J31" s="1119">
        <f t="shared" si="18"/>
        <v>0</v>
      </c>
      <c r="K31" s="1119">
        <f t="shared" si="18"/>
        <v>0</v>
      </c>
      <c r="L31" s="1180">
        <f t="shared" si="18"/>
        <v>0</v>
      </c>
      <c r="M31" s="1180">
        <f t="shared" si="18"/>
        <v>0</v>
      </c>
      <c r="N31" s="1180">
        <f t="shared" si="18"/>
        <v>877</v>
      </c>
      <c r="O31" s="1180">
        <f t="shared" si="18"/>
        <v>0</v>
      </c>
      <c r="P31" s="1180">
        <f t="shared" si="18"/>
        <v>0</v>
      </c>
      <c r="Q31" s="1119">
        <f t="shared" si="18"/>
        <v>2442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8652</v>
      </c>
      <c r="AC31" s="1118">
        <f t="shared" si="19"/>
        <v>2173</v>
      </c>
      <c r="AD31" s="1118">
        <f t="shared" si="19"/>
        <v>0</v>
      </c>
      <c r="AE31" s="1118">
        <f t="shared" si="19"/>
        <v>0</v>
      </c>
      <c r="AF31" s="1125">
        <f t="shared" si="19"/>
        <v>2106</v>
      </c>
      <c r="AG31" s="1125">
        <f t="shared" si="19"/>
        <v>0</v>
      </c>
      <c r="AH31" s="1125">
        <f t="shared" si="19"/>
        <v>105</v>
      </c>
      <c r="AI31" s="1125">
        <f t="shared" si="19"/>
        <v>0</v>
      </c>
      <c r="AJ31" s="1118">
        <f t="shared" si="19"/>
        <v>0</v>
      </c>
      <c r="AK31" s="1125">
        <f t="shared" si="19"/>
        <v>0</v>
      </c>
      <c r="AL31" s="1125">
        <f t="shared" si="19"/>
        <v>0</v>
      </c>
      <c r="AM31" s="1125">
        <f t="shared" si="19"/>
        <v>8310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3423</v>
      </c>
      <c r="BD31" s="1117">
        <f t="shared" si="19"/>
        <v>8244</v>
      </c>
      <c r="BE31" s="1117">
        <f t="shared" si="19"/>
        <v>0</v>
      </c>
      <c r="BF31" s="1127">
        <f t="shared" si="19"/>
        <v>0</v>
      </c>
      <c r="BG31" s="1223">
        <f>IF(ISNUMBER(Datos!K31/Datos!J31),Datos!K31/Datos!J31," - ")</f>
        <v>1.0109998156455478</v>
      </c>
      <c r="BH31" s="1223">
        <f>IF(ISNUMBER(((Datos!L31/Datos!K31)*11)/factor_trimestre),((Datos!L31/Datos!K31)*11)/factor_trimestre," - ")</f>
        <v>3.0428519328956969</v>
      </c>
      <c r="BI31" s="1103">
        <f>IF(ISNUMBER(Datos!J31/Datos!I31),Datos!J31/Datos!I31," - ")</f>
        <v>3.3838635891037638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-4.8362213527110116</v>
      </c>
      <c r="BM31" s="1188">
        <f>IF(ISNUMBER((Datos!P31-Datos!Q31+R31)/(Datos!R31-Datos!P31+Datos!Q31-R31)),(Datos!P31-Datos!Q31+R31)/(Datos!R31-Datos!P31+Datos!Q31-R31)," - ")</f>
        <v>3.3453550553413758E-2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806.22751722067244</v>
      </c>
      <c r="G33" s="674">
        <f>IF(ISNUMBER(STDEV(G8:G30)),STDEV(G8:G30),"-")</f>
        <v>751.79917531213084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3606.8198101453786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861.57631699112994</v>
      </c>
      <c r="BD33" s="673"/>
      <c r="BE33" s="673">
        <f>IF(ISNUMBER(STDEV(BE8:BE30)),STDEV(BE8:BE30),"-")</f>
        <v>0</v>
      </c>
      <c r="BF33" s="678">
        <f>IF(ISNUMBER(STDEV(BF8:BF30)),STDEV(BF8:BF30),"-")</f>
        <v>0</v>
      </c>
      <c r="BG33" s="1052">
        <f>IF(ISNUMBER(STDEV(BG8:BG30)),STDEV(BG8:BG30),"-")</f>
        <v>4.7141226874550093E-2</v>
      </c>
      <c r="BH33" s="1058">
        <f>IF(ISNUMBER(STDEV(BH8:BH30)),STDEV(BH8:BH30),"-")</f>
        <v>31.858171450550302</v>
      </c>
      <c r="BI33" s="273">
        <f>IF(ISNUMBER(STDEV(BI8:BI30)),STDEV(BI8:BI30),"-")</f>
        <v>0.13102365887740963</v>
      </c>
      <c r="BJ33" s="244" t="str">
        <f>IF(ISNUMBER(BL33/BM33),BL33/BM33," - ")</f>
        <v xml:space="preserve"> - </v>
      </c>
      <c r="BK33" s="709"/>
      <c r="BL33" s="681">
        <f>IF(ISNUMBER(STDEV(BL8:BL30)),STDEV(BL8:BL30),"-")</f>
        <v>2.7984013296363592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LdEoavxQySQCTJwvEqGzhhV3rxEf8Eromg6ZukHSBDYERBEzEC8j+4g9PS71ItedN2JPDqsDbgOdzw0Wtm55Q==" saltValue="T9FxOqcoc5g7MgRWzF1a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DENIA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2042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1717</v>
      </c>
      <c r="AA9" s="551" t="str">
        <f>IF(ISNUMBER(IF(J_V="SI",Datos!L9,Datos!L9+Datos!AB9)-IF(Monitorios="SI",Datos!CD9,0)),
                          IF(J_V="SI",Datos!L9,Datos!L9+Datos!AB9)-IF(Monitorios="SI",Datos!CD9,0),
                          " - ")</f>
        <v xml:space="preserve"> - </v>
      </c>
      <c r="AB9" s="549"/>
      <c r="AC9" s="549"/>
      <c r="AD9" s="563"/>
      <c r="AE9" s="563">
        <f>IF(ISNUMBER(Datos!R9),Datos!R9," - ")</f>
        <v>7925</v>
      </c>
      <c r="AF9" s="693" t="str">
        <f>IF(ISNUMBER(Datos!BV9),Datos!BV9," - ")</f>
        <v xml:space="preserve"> - </v>
      </c>
      <c r="AG9" s="552" t="str">
        <f>IF(ISNUMBER(Datos!DV9),Datos!DV9," - ")</f>
        <v xml:space="preserve"> - </v>
      </c>
      <c r="AH9" s="553"/>
      <c r="AI9" s="554"/>
      <c r="AJ9" s="552">
        <f>IF(ISNUMBER(Datos!M9),Datos!M9," - ")</f>
        <v>1892</v>
      </c>
      <c r="AK9" s="693">
        <f>IF(ISNUMBER(Datos!N9),Datos!N9," - ")</f>
        <v>3615</v>
      </c>
      <c r="AL9" s="693" t="str">
        <f>IF(ISNUMBER(Datos!BW9),Datos!BW9," - ")</f>
        <v xml:space="preserve"> - </v>
      </c>
      <c r="AM9" s="762" t="str">
        <f>IF(ISNUMBER(Datos!BX9),Datos!BX9," - ")</f>
        <v xml:space="preserve"> - </v>
      </c>
      <c r="AN9" s="763"/>
      <c r="AO9" s="764">
        <f>IF(ISNUMBER(((NºAsuntos!I9/NºAsuntos!G9)*11)/factor_trimestre),((NºAsuntos!I9/NºAsuntos!G9)*11)/factor_trimestre," - ")</f>
        <v>3.2360406091370555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4.2763157894736843E-2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97</v>
      </c>
      <c r="Z10" s="805">
        <f>IF(ISNUMBER(Datos!Q10),Datos!Q10," - ")</f>
        <v>7</v>
      </c>
      <c r="AA10" s="551">
        <f>IF(ISNUMBER(Datos!L10),Datos!L10,"-")</f>
        <v>97</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49</v>
      </c>
      <c r="AK10" s="693">
        <f>IF(ISNUMBER(Datos!N10),Datos!N10," - ")</f>
        <v>41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9.6774193548387094E-2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2055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97</v>
      </c>
      <c r="Z14" s="1210">
        <f t="shared" si="3"/>
        <v>1724</v>
      </c>
      <c r="AA14" s="1199">
        <f t="shared" si="3"/>
        <v>97</v>
      </c>
      <c r="AB14" s="1199">
        <f t="shared" si="3"/>
        <v>0</v>
      </c>
      <c r="AC14" s="1199">
        <f t="shared" si="3"/>
        <v>0</v>
      </c>
      <c r="AD14" s="1199">
        <f t="shared" si="3"/>
        <v>0</v>
      </c>
      <c r="AE14" s="1199">
        <f t="shared" si="3"/>
        <v>7993</v>
      </c>
      <c r="AF14" s="1211">
        <f t="shared" si="3"/>
        <v>0</v>
      </c>
      <c r="AG14" s="1211">
        <f t="shared" si="3"/>
        <v>0</v>
      </c>
      <c r="AH14" s="1211">
        <f t="shared" si="3"/>
        <v>0</v>
      </c>
      <c r="AI14" s="1211">
        <f t="shared" si="3"/>
        <v>0</v>
      </c>
      <c r="AJ14" s="1211">
        <f t="shared" si="3"/>
        <v>1941</v>
      </c>
      <c r="AK14" s="1211">
        <f t="shared" si="3"/>
        <v>3656</v>
      </c>
      <c r="AL14" s="1211">
        <f t="shared" si="3"/>
        <v>0</v>
      </c>
      <c r="AM14" s="1211">
        <f t="shared" si="3"/>
        <v>0</v>
      </c>
      <c r="AN14" s="1211">
        <f t="shared" si="3"/>
        <v>0</v>
      </c>
      <c r="AO14" s="1203">
        <f>IF(ISNUMBER(((NºAsuntos!I14/NºAsuntos!G14)*11)/factor_trimestre),((NºAsuntos!I14/NºAsuntos!G14)*11)/factor_trimestre," - ")</f>
        <v>3.3219623502567028</v>
      </c>
      <c r="AP14" s="1213" t="str">
        <f>IF(ISNUMBER(Datos!CI14/Datos!CJ14),Datos!CI14/Datos!CJ14," - ")</f>
        <v xml:space="preserve"> - </v>
      </c>
      <c r="AQ14" s="1236">
        <f t="shared" ref="AQ14:AV14" si="4">SUBTOTAL(9,AQ9:AQ13)</f>
        <v>0</v>
      </c>
      <c r="AR14" s="1236">
        <f t="shared" si="4"/>
        <v>0.13953735144312393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1681</v>
      </c>
      <c r="G16" s="552">
        <f>IF(ISNUMBER(IF(D_I="SI",Datos!I16,Datos!I16+Datos!AC16)),IF(D_I="SI",Datos!I16,Datos!I16+Datos!AC16)," - ")</f>
        <v>1604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338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7335</v>
      </c>
      <c r="Z16" s="805">
        <f>IF(ISNUMBER(Datos!Q16),Datos!Q16," - ")</f>
        <v>412</v>
      </c>
      <c r="AA16" s="551">
        <f>IF(ISNUMBER(IF(D_I="SI",Datos!L16,Datos!L16+Datos!AF16)),IF(D_I="SI",Datos!L16,Datos!L16+Datos!AF16)," - ")</f>
        <v>1811</v>
      </c>
      <c r="AB16" s="549"/>
      <c r="AC16" s="549"/>
      <c r="AD16" s="563"/>
      <c r="AE16" s="563">
        <f>IF(ISNUMBER(Datos!R16),Datos!R16," - ")</f>
        <v>254</v>
      </c>
      <c r="AF16" s="693" t="str">
        <f>IF(ISNUMBER(Datos!BV16),Datos!BV16," - ")</f>
        <v xml:space="preserve"> - </v>
      </c>
      <c r="AG16" s="552"/>
      <c r="AH16" s="553"/>
      <c r="AI16" s="554"/>
      <c r="AJ16" s="552">
        <f>IF(ISNUMBER(Datos!M16),Datos!M16," - ")</f>
        <v>1242</v>
      </c>
      <c r="AK16" s="693">
        <f>IF(ISNUMBER(Datos!N16),Datos!N16," - ")</f>
        <v>3997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2.7158827539195638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18</v>
      </c>
      <c r="G17" s="552">
        <f>IF(ISNUMBER(IF(D_I="SI",Datos!I17,Datos!I17+Datos!AC17)),IF(D_I="SI",Datos!I17,Datos!I17+Datos!AC17)," - ")</f>
        <v>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v>
      </c>
      <c r="Z17" s="805">
        <f>IF(ISNUMBER(Datos!Q17),Datos!Q17," - ")</f>
        <v>0</v>
      </c>
      <c r="AA17" s="551">
        <f>IF(ISNUMBER(IF(D_I="SI",Datos!L17,Datos!L17+Datos!AF17)),IF(D_I="SI",Datos!L17,Datos!L17+Datos!AF17)," - ")</f>
        <v>16</v>
      </c>
      <c r="AB17" s="549"/>
      <c r="AC17" s="549"/>
      <c r="AD17" s="563"/>
      <c r="AE17" s="563">
        <f>IF(ISNUMBER(Datos!R17),Datos!R17," - ")</f>
        <v>45</v>
      </c>
      <c r="AF17" s="693" t="str">
        <f>IF(ISNUMBER(Datos!BV17),Datos!BV17," - ")</f>
        <v xml:space="preserve"> - </v>
      </c>
      <c r="AG17" s="552"/>
      <c r="AH17" s="553"/>
      <c r="AI17" s="554"/>
      <c r="AJ17" s="552">
        <f>IF(ISNUMBER(Datos!M17),Datos!M17," - ")</f>
        <v>0</v>
      </c>
      <c r="AK17" s="693">
        <f>IF(ISNUMBER(Datos!N17),Datos!N17," - ")</f>
        <v>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1218</v>
      </c>
      <c r="Z18" s="805">
        <f>IF(ISNUMBER(Datos!Q18),Datos!Q18," - ")</f>
        <v>37</v>
      </c>
      <c r="AA18" s="551">
        <f>IF(ISNUMBER(Datos!L18),Datos!L18,"-")</f>
        <v>182</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240</v>
      </c>
      <c r="AK18" s="693">
        <f>IF(ISNUMBER(Datos!N18),Datos!N18," - ")</f>
        <v>589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1.6436781609195403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1699</v>
      </c>
      <c r="G23" s="1197">
        <f>SUBTOTAL(9,G16:G22)</f>
        <v>1740</v>
      </c>
      <c r="H23" s="1240">
        <f>SUBTOTAL(9,H16:H22)</f>
        <v>0</v>
      </c>
      <c r="I23" s="1217">
        <f>SUBTOTAL(9,I16:I22)</f>
        <v>0</v>
      </c>
      <c r="J23" s="1164">
        <f>SUBTOTAL(9,J15:J22)</f>
        <v>0</v>
      </c>
      <c r="K23" s="1240">
        <f t="shared" ref="K23:S23" si="5">SUBTOTAL(9,K16:K22)</f>
        <v>0</v>
      </c>
      <c r="L23" s="1240">
        <f t="shared" si="5"/>
        <v>0</v>
      </c>
      <c r="M23" s="1240">
        <f t="shared" si="5"/>
        <v>0</v>
      </c>
      <c r="N23" s="1240">
        <f t="shared" si="5"/>
        <v>387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8555</v>
      </c>
      <c r="Z23" s="1240">
        <f t="shared" si="6"/>
        <v>449</v>
      </c>
      <c r="AA23" s="1240">
        <f t="shared" si="6"/>
        <v>2009</v>
      </c>
      <c r="AB23" s="1240">
        <f t="shared" si="6"/>
        <v>0</v>
      </c>
      <c r="AC23" s="1240">
        <f t="shared" si="6"/>
        <v>0</v>
      </c>
      <c r="AD23" s="1240">
        <f t="shared" si="6"/>
        <v>0</v>
      </c>
      <c r="AE23" s="1240">
        <f t="shared" si="6"/>
        <v>317</v>
      </c>
      <c r="AF23" s="1240">
        <f t="shared" si="6"/>
        <v>0</v>
      </c>
      <c r="AG23" s="1240">
        <f t="shared" si="6"/>
        <v>0</v>
      </c>
      <c r="AH23" s="1240">
        <f t="shared" si="6"/>
        <v>0</v>
      </c>
      <c r="AI23" s="1240">
        <f t="shared" si="6"/>
        <v>0</v>
      </c>
      <c r="AJ23" s="1240">
        <f t="shared" si="6"/>
        <v>1482</v>
      </c>
      <c r="AK23" s="1240">
        <f t="shared" si="6"/>
        <v>4588</v>
      </c>
      <c r="AL23" s="1240">
        <f t="shared" si="6"/>
        <v>0</v>
      </c>
      <c r="AM23" s="1240">
        <f t="shared" si="6"/>
        <v>0</v>
      </c>
      <c r="AN23" s="1240">
        <f t="shared" si="6"/>
        <v>0</v>
      </c>
      <c r="AO23" s="1242">
        <f>IF(ISNUMBER(((NºAsuntos!I23/NºAsuntos!G23)*11)/factor_trimestre),((NºAsuntos!I23/NºAsuntos!G23)*11)/factor_trimestre," - ")</f>
        <v>2.5831677381648159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1789</v>
      </c>
      <c r="G31" s="1117">
        <f t="shared" si="12"/>
        <v>1830</v>
      </c>
      <c r="H31" s="1118">
        <f t="shared" si="12"/>
        <v>0</v>
      </c>
      <c r="I31" s="1117">
        <f t="shared" si="12"/>
        <v>0</v>
      </c>
      <c r="J31" s="1119">
        <f t="shared" si="12"/>
        <v>0</v>
      </c>
      <c r="K31" s="1117">
        <f t="shared" si="12"/>
        <v>0</v>
      </c>
      <c r="L31" s="1120">
        <f t="shared" si="12"/>
        <v>0</v>
      </c>
      <c r="M31" s="1117">
        <f t="shared" si="12"/>
        <v>0</v>
      </c>
      <c r="N31" s="1118">
        <f t="shared" si="12"/>
        <v>2442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8652</v>
      </c>
      <c r="Z31" s="1124">
        <f t="shared" si="13"/>
        <v>2173</v>
      </c>
      <c r="AA31" s="1125">
        <f t="shared" si="13"/>
        <v>2106</v>
      </c>
      <c r="AB31" s="1125">
        <f t="shared" si="13"/>
        <v>0</v>
      </c>
      <c r="AC31" s="1125">
        <f t="shared" si="13"/>
        <v>0</v>
      </c>
      <c r="AD31" s="1126">
        <f t="shared" si="13"/>
        <v>0</v>
      </c>
      <c r="AE31" s="1126">
        <f t="shared" si="13"/>
        <v>8310</v>
      </c>
      <c r="AF31" s="1127">
        <f t="shared" si="13"/>
        <v>0</v>
      </c>
      <c r="AG31" s="1128">
        <f t="shared" si="13"/>
        <v>0</v>
      </c>
      <c r="AH31" s="1129">
        <f t="shared" si="13"/>
        <v>0</v>
      </c>
      <c r="AI31" s="1127">
        <f t="shared" si="13"/>
        <v>0</v>
      </c>
      <c r="AJ31" s="1117">
        <f t="shared" si="13"/>
        <v>3423</v>
      </c>
      <c r="AK31" s="1117">
        <f t="shared" si="13"/>
        <v>8244</v>
      </c>
      <c r="AL31" s="1117">
        <f t="shared" si="13"/>
        <v>0</v>
      </c>
      <c r="AM31" s="1130">
        <f t="shared" si="13"/>
        <v>0</v>
      </c>
      <c r="AN31" s="1120">
        <f>IF(ISNUMBER(Datos!K31/Datos!J31),Datos!K31/Datos!J31," - ")</f>
        <v>1.0109998156455478</v>
      </c>
      <c r="AO31" s="1120">
        <f>IF(ISNUMBER(FIND("06",Criterios!A8,1)),(IF(ISNUMBER(((Datos!R31/Datos!Q31)*11)/factor_trimestre),((Datos!R31/Datos!Q31)*11)/factor_trimestre," - ")),(IF(ISNUMBER(((Datos!L31/Datos!K31)*11)/factor_trimestre),((Datos!L31/Datos!K31)*11)/factor_trimestre," - ")))</f>
        <v>3.0428519328956969</v>
      </c>
      <c r="AP31" s="1131" t="str">
        <f>IF(ISNUMBER(Datos!CI31/Datos!CJ31),Datos!CI31/Datos!CJ31," - ")</f>
        <v xml:space="preserve"> - </v>
      </c>
      <c r="AQ31" s="1131">
        <f>IF(OR(ISNUMBER(FIND("01",Criterios!A8,1)),ISNUMBER(FIND("02",Criterios!A8,1)),ISNUMBER(FIND("03",Criterios!A8,1)),ISNUMBER(FIND("04",Criterios!A8,1))),(J31-Y31+K31)/(F31-K31),(I31-Y31+K31)/(F31-K31))</f>
        <v>-4.8362213527110116</v>
      </c>
      <c r="AR31" s="1131">
        <f>IF(ISNUMBER((Datos!P31-Datos!Q31+O31)/(Datos!R31-Datos!P31+Datos!Q31-O31)),(Datos!P31-Datos!Q31+O31)/(Datos!R31-Datos!P31+Datos!Q31-O31)," - ")</f>
        <v>3.3453550553413758E-2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806.22751722067244</v>
      </c>
      <c r="G33" s="674">
        <f>IF(ISNUMBER(STDEV(G8:G30)),STDEV(G8:G30),"-")</f>
        <v>751.79917531213084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861.57631699112994</v>
      </c>
      <c r="AK33" s="276"/>
      <c r="AL33" s="276">
        <f>IF(ISNUMBER(STDEV(AL8:AL30)),STDEV(AL8:AL30),"-")</f>
        <v>0</v>
      </c>
      <c r="AM33" s="278">
        <f>IF(ISNUMBER(STDEV(AM8:AM30)),STDEV(AM8:AM30),"-")</f>
        <v>0</v>
      </c>
      <c r="AN33" s="660">
        <f>IF(ISNUMBER(STDEV(AN8:AN30)),STDEV(AN8:AN30),"-")</f>
        <v>0</v>
      </c>
      <c r="AO33" s="661">
        <f>IF(ISNUMBER(STDEV(AO8:AO30)),STDEV(AO8:AO30),"-")</f>
        <v>31.87265969133724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rCf8CjlW4S1mEETvpjEIL9qK+2dbevnjOhQi3XYM02e1P+RETqTKQkY5umLmn6xfxHE/doPYu2TMzzN9BhUWw==" saltValue="1A0GySyDFbq5/LfLZFZ/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2kUQCTeBm39FVM86qKK63fuXp8kO4Hf6Zeur1UWTlHMLskHW++xcv1udkO4ofTxb+gx0RwacSCJ84Wd2BXGQQ==" saltValue="/F16jjhUbeJ8SiA9hEdF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iwDqTRBB+P60HhqHl/jXBCLTir0AgikJKsP7a+CvnVkxu7rO/CCS8/7LX61BbU4lNWpFlLEs7BTs6NAKoiegQ==" saltValue="TRmoH/fqYvBInbfqjI8P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DENIA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0.22144894466628637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0.15658805046013563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ALTNDfg/boUORbx2rDTJQaV7zRhSUoiEFk2hUbEBDiq90HQwdlDcjX9OxDqLxTGuvwOf/cspH9HlJVh0G2zJg==" saltValue="dqXyB6U+5x+G1ZhGGMA2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phlJHYkoJMbsOCUcEXYDoaL5Nic3v4vzdx+GyISamIV3xz/rUgl+hlbUPN7mKj/RC0hz1TiFAN5Ng3YmO75eA==" saltValue="HZaE6WrfjneCylfxcGsU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DENIA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3075</v>
      </c>
      <c r="D9" s="452">
        <f>IF(ISNUMBER(C9/Datos!BH9),C9/Datos!BH9," - ")</f>
        <v>615</v>
      </c>
      <c r="E9" s="451">
        <f>IF(ISNUMBER(IF(J_V="SI",Datos!J9,Datos!J9+Datos!Z9)),IF(J_V="SI",Datos!J9,Datos!J9+Datos!Z9)," - ")</f>
        <v>8304</v>
      </c>
      <c r="F9" s="452">
        <f>IF(ISNUMBER(E9/B9),E9/B9," - ")</f>
        <v>1384</v>
      </c>
      <c r="G9" s="451">
        <f>IF(ISNUMBER(IF(J_V="SI",Datos!K9,Datos!K9+Datos!AA9)),IF(J_V="SI",Datos!K9,Datos!K9+Datos!AA9)," - ")</f>
        <v>8668</v>
      </c>
      <c r="H9" s="452">
        <f>IF(ISNUMBER(G9/B9),G9/B9," - ")</f>
        <v>1444.6666666666667</v>
      </c>
      <c r="I9" s="451">
        <f>IF(ISNUMBER(IF(J_V="SI",Datos!L9,Datos!L9+Datos!AB9)),IF(J_V="SI",Datos!L9,Datos!L9+Datos!AB9)," - ")</f>
        <v>2550</v>
      </c>
      <c r="J9" s="452">
        <f>IF(ISNUMBER(I9/B9),I9/B9," - ")</f>
        <v>425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104</v>
      </c>
      <c r="F10" s="452">
        <f>IF(ISNUMBER(E10/B10),E10/B10," - ")</f>
        <v>104</v>
      </c>
      <c r="G10" s="451">
        <f>IF(ISNUMBER(Datos!K10),Datos!K10," - ")</f>
        <v>97</v>
      </c>
      <c r="H10" s="452">
        <f>IF(ISNUMBER(G10/B10),G10/B10," - ")</f>
        <v>97</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3165</v>
      </c>
      <c r="D14" s="1147" t="str">
        <f>IF(ISNUMBER(C14/Datos!BI14),C14/Datos!BI14," - ")</f>
        <v xml:space="preserve"> - </v>
      </c>
      <c r="E14" s="1146">
        <f>SUBTOTAL(9,E8:E13)</f>
        <v>8408</v>
      </c>
      <c r="F14" s="1147">
        <f>IF(ISNUMBER(E14/B14),E14/B14," - ")</f>
        <v>1201.1428571428571</v>
      </c>
      <c r="G14" s="1146">
        <f>SUBTOTAL(9,G8:G13)</f>
        <v>8765</v>
      </c>
      <c r="H14" s="1147">
        <f>IF(ISNUMBER(G14/B14),G14/B14," - ")</f>
        <v>1252.1428571428571</v>
      </c>
      <c r="I14" s="1146">
        <f>SUBTOTAL(9,I8:I13)</f>
        <v>2647</v>
      </c>
      <c r="J14" s="1147">
        <f>IF(ISNUMBER(I14/B14),I14/B14," - ")</f>
        <v>378.14285714285717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1604</v>
      </c>
      <c r="D16" s="452">
        <f>IF(ISNUMBER(C16/Datos!BH16),C16/Datos!BH16," - ")</f>
        <v>534.66666666666663</v>
      </c>
      <c r="E16" s="451">
        <f>IF(ISNUMBER(IF(D_I="SI",Datos!J16,Datos!J16+Datos!AD16)),IF(D_I="SI",Datos!J16,Datos!J16+Datos!AD16)," - ")</f>
        <v>7465</v>
      </c>
      <c r="F16" s="452">
        <f>IF(ISNUMBER(E16/B16),E16/B16," - ")</f>
        <v>2488.3333333333335</v>
      </c>
      <c r="G16" s="451">
        <f>IF(ISNUMBER(IF(D_I="SI",Datos!K16,Datos!K16+Datos!AE16)),IF(D_I="SI",Datos!K16,Datos!K16+Datos!AE16)," - ")</f>
        <v>7335</v>
      </c>
      <c r="H16" s="452">
        <f>IF(ISNUMBER(G16/B16),G16/B16," - ")</f>
        <v>2445</v>
      </c>
      <c r="I16" s="451">
        <f>IF(ISNUMBER(IF(D_I="SI",Datos!L16,Datos!L16+Datos!AF16)),IF(D_I="SI",Datos!L16,Datos!L16+Datos!AF16)," - ")</f>
        <v>1811</v>
      </c>
      <c r="J16" s="452">
        <f>IF(ISNUMBER(I16/B16),I16/B16," - ")</f>
        <v>603.66666666666663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18</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2</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118</v>
      </c>
      <c r="D18" s="452">
        <f>IF(ISNUMBER(C18/Datos!BH18),C18/Datos!BH18," - ")</f>
        <v>118</v>
      </c>
      <c r="E18" s="451">
        <f>IF(ISNUMBER(IF(D_I="SI",Datos!J18,Datos!J18+Datos!AD18)),IF(D_I="SI",Datos!J18,Datos!J18+Datos!AD18)," - ")</f>
        <v>1277</v>
      </c>
      <c r="F18" s="452">
        <f>IF(ISNUMBER(E18/B18),E18/B18," - ")</f>
        <v>1277</v>
      </c>
      <c r="G18" s="451">
        <f>IF(ISNUMBER(IF(D_I="SI",Datos!K18,Datos!K18+Datos!AE18)),IF(D_I="SI",Datos!K18,Datos!K18+Datos!AE18)," - ")</f>
        <v>1218</v>
      </c>
      <c r="H18" s="452">
        <f>IF(ISNUMBER(G18/B18),G18/B18," - ")</f>
        <v>1218</v>
      </c>
      <c r="I18" s="451">
        <f>IF(ISNUMBER(IF(D_I="SI",Datos!L18,Datos!L18+Datos!AF18)),IF(D_I="SI",Datos!L18,Datos!L18+Datos!AF18)," - ")</f>
        <v>182</v>
      </c>
      <c r="J18" s="452">
        <f>IF(ISNUMBER(I18/B18),I18/B18," - ")</f>
        <v>182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1740</v>
      </c>
      <c r="D23" s="1147" t="str">
        <f>IF(ISNUMBER(C23/Datos!BI23),C23/Datos!BI23," - ")</f>
        <v xml:space="preserve"> - </v>
      </c>
      <c r="E23" s="1146">
        <f>SUBTOTAL(9,E15:E22)</f>
        <v>8742</v>
      </c>
      <c r="F23" s="1147">
        <f>IF(ISNUMBER(E23/B23),E23/B23," - ")</f>
        <v>2185.5</v>
      </c>
      <c r="G23" s="1146">
        <f>SUBTOTAL(9,G15:G22)</f>
        <v>8555</v>
      </c>
      <c r="H23" s="1147">
        <f>IF(ISNUMBER(G23/B23),G23/B23," - ")</f>
        <v>2138.75</v>
      </c>
      <c r="I23" s="1146">
        <f>SUBTOTAL(9,I15:I22)</f>
        <v>2009</v>
      </c>
      <c r="J23" s="1147">
        <f>IF(ISNUMBER(I23/B23),I23/B23," - ")</f>
        <v>502.25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4905</v>
      </c>
      <c r="D31" s="1085" t="str">
        <f>IF(ISNUMBER(C31/Datos!BI31),C31/Datos!BI31," - ")</f>
        <v xml:space="preserve"> - </v>
      </c>
      <c r="E31" s="1084">
        <f>SUBTOTAL(9,E9:E30)</f>
        <v>17150</v>
      </c>
      <c r="F31" s="1085">
        <f>IF(ISNUMBER(E31/B31),E31/B31," - ")</f>
        <v>1715</v>
      </c>
      <c r="G31" s="1084">
        <f>SUBTOTAL(9,G9:G30)</f>
        <v>17320</v>
      </c>
      <c r="H31" s="1085">
        <f>IF(ISNUMBER(G31/B31),G31/B31," - ")</f>
        <v>1732</v>
      </c>
      <c r="I31" s="1084">
        <f>SUBTOTAL(9,I9:I30)</f>
        <v>4656</v>
      </c>
      <c r="J31" s="1085">
        <f>IF(ISNUMBER(I31/B31),I31/B31," - ")</f>
        <v>465.6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vuNgYlry2v0B1wBOzuLrERX1INmAULFEDJq4Sg7XkYiumUnlMHqn5Lz1luTLcKg7g94ATYEZ0BiqE4KgBrZoQ==" saltValue="3KjBafFtjWSO9votpEo1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DENIA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97</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49</v>
      </c>
      <c r="AM10" s="914">
        <f>IF(ISNUMBER(Datos!N10+DatosP!N18),Datos!N10+DatosP!N18," - ")</f>
        <v>41</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97</v>
      </c>
      <c r="AC14" s="1257">
        <f t="shared" si="1"/>
        <v>0</v>
      </c>
      <c r="AD14" s="1257">
        <f t="shared" si="1"/>
        <v>0</v>
      </c>
      <c r="AE14" s="1257">
        <f t="shared" si="1"/>
        <v>0</v>
      </c>
      <c r="AF14" s="1257">
        <f t="shared" si="1"/>
        <v>97</v>
      </c>
      <c r="AG14" s="1257">
        <f t="shared" si="1"/>
        <v>0</v>
      </c>
      <c r="AH14" s="1257">
        <f t="shared" si="1"/>
        <v>0</v>
      </c>
      <c r="AI14" s="1257">
        <f t="shared" si="1"/>
        <v>0</v>
      </c>
      <c r="AJ14" s="1257">
        <f t="shared" si="1"/>
        <v>0</v>
      </c>
      <c r="AK14" s="1257">
        <f t="shared" si="1"/>
        <v>0</v>
      </c>
      <c r="AL14" s="1257">
        <f t="shared" si="1"/>
        <v>49</v>
      </c>
      <c r="AM14" s="1257">
        <f t="shared" si="1"/>
        <v>41</v>
      </c>
      <c r="AN14" s="1257">
        <f t="shared" si="1"/>
        <v>0</v>
      </c>
      <c r="AO14" s="1257">
        <f t="shared" si="1"/>
        <v>0</v>
      </c>
      <c r="AP14" s="1262">
        <f>IF(ISNUMBER(((Datos!L14/Datos!K14)*11)/factor_trimestre),((Datos!L14/Datos!K14)*11)/factor_trimestre," - ")</f>
        <v>3.5408382930226669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-1.0777777777777777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2.5831677381648159</v>
      </c>
      <c r="AQ23" s="1262">
        <f>IF(ISNUMBER(((Datos!M23/Datos!L23)*11)/factor_trimestre),((Datos!M23/Datos!L23)*11)/factor_trimestre," - ")</f>
        <v>8.1144848183175711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-0.16358839050131926</v>
      </c>
      <c r="AW23" s="1265">
        <f>IF(ISNUMBER((Datos!Q23-Datos!R23)/(Datos!S23-Datos!Q23+Datos!R23)),(Datos!Q23-Datos!R23)/(Datos!S23-Datos!Q23+Datos!R23)," - ")</f>
        <v>5.6701030927835051E-2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97</v>
      </c>
      <c r="AC31" s="1284">
        <f t="shared" si="9"/>
        <v>0</v>
      </c>
      <c r="AD31" s="1284">
        <f t="shared" si="9"/>
        <v>0</v>
      </c>
      <c r="AE31" s="1284">
        <f t="shared" si="9"/>
        <v>0</v>
      </c>
      <c r="AF31" s="1285">
        <f t="shared" si="9"/>
        <v>97</v>
      </c>
      <c r="AG31" s="1285">
        <f t="shared" si="9"/>
        <v>0</v>
      </c>
      <c r="AH31" s="1285">
        <f t="shared" si="9"/>
        <v>0</v>
      </c>
      <c r="AI31" s="1285">
        <f t="shared" si="9"/>
        <v>0</v>
      </c>
      <c r="AJ31" s="1286">
        <f t="shared" si="9"/>
        <v>0</v>
      </c>
      <c r="AK31" s="1286">
        <f t="shared" si="9"/>
        <v>0</v>
      </c>
      <c r="AL31" s="1278">
        <f t="shared" si="9"/>
        <v>49</v>
      </c>
      <c r="AM31" s="1278">
        <f t="shared" si="9"/>
        <v>41</v>
      </c>
      <c r="AN31" s="1278">
        <f t="shared" si="9"/>
        <v>0</v>
      </c>
      <c r="AO31" s="1278">
        <f t="shared" si="9"/>
        <v>0</v>
      </c>
      <c r="AP31" s="1278">
        <f>IF(ISNUMBER(((Datos!L31/Datos!K31)*11)/factor_trimestre),((Datos!L31/Datos!K31)*11)/factor_trimestre," - ")</f>
        <v>3.0428519328956969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-1.0777777777777777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3.3453550553413758E-2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53.129088078001111</v>
      </c>
      <c r="AC33" s="1008">
        <f>IF(ISNUMBER(STDEV(AC8:AC30)),STDEV(AC8:AC30),"-")</f>
        <v>0</v>
      </c>
      <c r="AD33" s="1011"/>
      <c r="AE33" s="1011"/>
      <c r="AF33" s="1011"/>
      <c r="AG33" s="1011"/>
      <c r="AH33" s="1011"/>
      <c r="AI33" s="1011"/>
      <c r="AJ33" s="1012">
        <f>IF(ISNUMBER(STDEV(AJ8:AJ30)),STDEV(AJ8:AJ30),"-")</f>
        <v>0</v>
      </c>
      <c r="AK33" s="1014"/>
      <c r="AL33" s="1006">
        <f>IF(ISNUMBER(STDEV(AL8:AL30)),STDEV(AL8:AL30),"-")</f>
        <v>26.838405317753139</v>
      </c>
      <c r="AM33" s="1006"/>
      <c r="AN33" s="1006">
        <f>IF(ISNUMBER(STDEV(AN8:AN30)),STDEV(AN8:AN30),"-")</f>
        <v>0</v>
      </c>
      <c r="AO33" s="1012">
        <f>IF(ISNUMBER(STDEV(AO8:AO30)),STDEV(AO8:AO30),"-")</f>
        <v>0</v>
      </c>
      <c r="AP33" s="1065">
        <f>IF(ISNUMBER(STDEV(AP8:AP30)),STDEV(AP8:AP30),"-")</f>
        <v>4.6079513088129946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WD7OuBE4dcaq93ejOf/92vVYCrvwLs82IvghMJTj8ibRZFo2a946KT7lF5KX/NN2n97ZGNZxCfP4itR0iWbBw==" saltValue="yfY4VV3oNcA6C1nl2twW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DENIA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3JQ+6oym+jYKApD0YXPhM8ySLda8kwCXFskb75jNxqUCZzgo5FFF1lHmKfHm9ZyGU8i0vJgob9Iz6+tLR7wMw==" saltValue="2eTM2RaNkffzSL6tGx2o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DENIA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1892</v>
      </c>
      <c r="E9" s="452">
        <f t="shared" ref="E9:E14" si="0">IF(ISNUMBER(D9/B9),D9/B9," - ")</f>
        <v>315.33333333333331</v>
      </c>
      <c r="F9" s="451">
        <f>IF(ISNUMBER(Datos!N9),Datos!N9," - ")</f>
        <v>3615</v>
      </c>
      <c r="G9" s="452">
        <f t="shared" ref="G9:G14" si="1">IF(ISNUMBER(F9/B9),F9/B9," - ")</f>
        <v>602.5</v>
      </c>
      <c r="H9" s="451">
        <f>IF(ISNUMBER(Datos!O9),Datos!O9," - ")</f>
        <v>4021</v>
      </c>
      <c r="I9" s="452">
        <f>IF(ISNUMBER(H9/B9),H9/B9," - ")</f>
        <v>670.16666666666663</v>
      </c>
    </row>
    <row r="10" spans="1:9">
      <c r="A10" s="450" t="str">
        <f>Datos!A10</f>
        <v>Jdos. Violencia contra la mujer</v>
      </c>
      <c r="B10" s="480">
        <f>Datos!AO10</f>
        <v>1</v>
      </c>
      <c r="C10" s="458">
        <f>Datos!AQ10</f>
        <v>1</v>
      </c>
      <c r="D10" s="451">
        <f>IF(ISNUMBER(Datos!M10),Datos!M10," - ")</f>
        <v>49</v>
      </c>
      <c r="E10" s="452">
        <f>IF(ISNUMBER(D10/B10),D10/B10," - ")</f>
        <v>49</v>
      </c>
      <c r="F10" s="451">
        <f>IF(ISNUMBER(Datos!N10),Datos!N10," - ")</f>
        <v>41</v>
      </c>
      <c r="G10" s="452">
        <f>IF(ISNUMBER(F10/B10),F10/B10," - ")</f>
        <v>41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1941</v>
      </c>
      <c r="E14" s="1147">
        <f t="shared" si="0"/>
        <v>277.28571428571428</v>
      </c>
      <c r="F14" s="1146">
        <f>SUBTOTAL(9,F9:F13)</f>
        <v>3656</v>
      </c>
      <c r="G14" s="1147">
        <f t="shared" si="1"/>
        <v>522.28571428571433</v>
      </c>
      <c r="H14" s="1146">
        <f>SUBTOTAL(9,H9:H13)</f>
        <v>4024</v>
      </c>
      <c r="I14" s="1147">
        <f>IF(ISNUMBER(H14/B14),H14/B14," - ")</f>
        <v>574.85714285714289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1242</v>
      </c>
      <c r="E16" s="452">
        <f t="shared" ref="E16:E23" si="3">IF(ISNUMBER(D16/B16),D16/B16," - ")</f>
        <v>414</v>
      </c>
      <c r="F16" s="451">
        <f>IF(ISNUMBER(Datos!N16),Datos!N16," - ")</f>
        <v>3997</v>
      </c>
      <c r="G16" s="452">
        <f t="shared" ref="G16:G23" si="4">IF(ISNUMBER(F16/B16),F16/B16," - ")</f>
        <v>1332.3333333333333</v>
      </c>
      <c r="H16" s="451">
        <f>IF(ISNUMBER(Datos!O16),Datos!O16," - ")</f>
        <v>198</v>
      </c>
      <c r="I16" s="452">
        <f t="shared" ref="I16:I22" si="5">IF(ISNUMBER(H16/B16),H16/B16," - ")</f>
        <v>66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2</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240</v>
      </c>
      <c r="E18" s="452">
        <f>IF(ISNUMBER(D18/B18),D18/B18," - ")</f>
        <v>240</v>
      </c>
      <c r="F18" s="451">
        <f>IF(ISNUMBER(Datos!N18),Datos!N18," - ")</f>
        <v>589</v>
      </c>
      <c r="G18" s="452">
        <f>IF(ISNUMBER(F18/B18),F18/B18," - ")</f>
        <v>589</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1482</v>
      </c>
      <c r="E23" s="1147">
        <f t="shared" si="3"/>
        <v>370.5</v>
      </c>
      <c r="F23" s="1146">
        <f>SUBTOTAL(9,F16:F22)</f>
        <v>4588</v>
      </c>
      <c r="G23" s="1147">
        <f t="shared" si="4"/>
        <v>1147</v>
      </c>
      <c r="H23" s="1146">
        <f>SUBTOTAL(9,H16:H22)</f>
        <v>210</v>
      </c>
      <c r="I23" s="1147">
        <f>IF(ISNUMBER(H23/B23),H23/B23," - ")</f>
        <v>52.5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3423</v>
      </c>
      <c r="E31" s="1085">
        <f>IF(ISNUMBER(D31/B31),D31/B31," - ")</f>
        <v>342.3</v>
      </c>
      <c r="F31" s="1084">
        <f>SUBTOTAL(9,F8:F30)</f>
        <v>8244</v>
      </c>
      <c r="G31" s="1085">
        <f>IF(ISNUMBER(F31/B31),F31/B31," - ")</f>
        <v>824.4</v>
      </c>
      <c r="H31" s="1084">
        <f>SUBTOTAL(9,H8:H30)</f>
        <v>4234</v>
      </c>
      <c r="I31" s="1085">
        <f>IF(ISNUMBER(H31/B31),H31/B31," - ")</f>
        <v>423.4</v>
      </c>
    </row>
    <row r="34" spans="1:1">
      <c r="A34" s="439" t="str">
        <f>Criterios!A4</f>
        <v>Fecha Informe: 14 abr. 2023</v>
      </c>
    </row>
    <row r="39" spans="1:1">
      <c r="A39" s="462"/>
    </row>
  </sheetData>
  <sheetProtection algorithmName="SHA-512" hashValue="3TQsLhx0MxjTyBztWWvHJ4i07fkuYWxEB0t2LJ5p1rhUGu61HpTranGFK7d5QGvjyMgAM4LkSsnAZvTso/5x8w==" saltValue="56dOrpaGEXLC7257KjVI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DENIA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2042</v>
      </c>
      <c r="C9" s="489">
        <f>IF(ISNUMBER(Datos!Q9),Datos!Q9," - ")</f>
        <v>1717</v>
      </c>
      <c r="D9" s="456">
        <f>IF(ISNUMBER(Datos!R9),Datos!R9," - ")</f>
        <v>7925</v>
      </c>
    </row>
    <row r="10" spans="1:4">
      <c r="A10" s="450" t="str">
        <f>Datos!A10</f>
        <v>Jdos. Violencia contra la mujer</v>
      </c>
      <c r="B10" s="488">
        <f>IF(ISNUMBER(Datos!P10),Datos!P10," - ")</f>
        <v>13</v>
      </c>
      <c r="C10" s="489">
        <f>IF(ISNUMBER(Datos!Q10),Datos!Q10," - ")</f>
        <v>7</v>
      </c>
      <c r="D10" s="456">
        <f>IF(ISNUMBER(Datos!R10),Datos!R10," - ")</f>
        <v>68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2055</v>
      </c>
      <c r="C14" s="1150">
        <f>SUBTOTAL(9,C9:C13)</f>
        <v>1724</v>
      </c>
      <c r="D14" s="1148">
        <f>SUBTOTAL(9,D9:D13)</f>
        <v>7993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338</v>
      </c>
      <c r="C16" s="489">
        <f>IF(ISNUMBER(Datos!Q16),Datos!Q16," - ")</f>
        <v>412</v>
      </c>
      <c r="D16" s="456">
        <f>IF(ISNUMBER(Datos!R16),Datos!R16," - ")</f>
        <v>254</v>
      </c>
    </row>
    <row r="17" spans="1:4">
      <c r="A17" s="450" t="str">
        <f>Datos!A17</f>
        <v xml:space="preserve">Jdos. 1ª Instª. e Instr.                        </v>
      </c>
      <c r="B17" s="488">
        <f>IF(ISNUMBER(Datos!P17),Datos!P17," - ")</f>
        <v>0</v>
      </c>
      <c r="C17" s="489">
        <f>IF(ISNUMBER(Datos!Q17),Datos!Q17," - ")</f>
        <v>0</v>
      </c>
      <c r="D17" s="456">
        <f>IF(ISNUMBER(Datos!R17),Datos!R17," - ")</f>
        <v>45</v>
      </c>
    </row>
    <row r="18" spans="1:4">
      <c r="A18" s="450" t="str">
        <f>Datos!A18</f>
        <v>Jdos. Violencia contra la mujer</v>
      </c>
      <c r="B18" s="488">
        <f>IF(ISNUMBER(Datos!P18),Datos!P18," - ")</f>
        <v>49</v>
      </c>
      <c r="C18" s="489">
        <f>IF(ISNUMBER(Datos!Q18),Datos!Q18," - ")</f>
        <v>37</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387</v>
      </c>
      <c r="C23" s="1150">
        <f>SUBTOTAL(9,C16:C22)</f>
        <v>449</v>
      </c>
      <c r="D23" s="1148">
        <f>SUBTOTAL(9,D16:D22)</f>
        <v>317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2442</v>
      </c>
      <c r="C31" s="1089">
        <f>SUBTOTAL(9,C8:C30)</f>
        <v>2173</v>
      </c>
      <c r="D31" s="1090">
        <f>SUBTOTAL(9,D8:D30)</f>
        <v>8310</v>
      </c>
    </row>
    <row r="32" spans="1:4" ht="7.5" customHeight="1"/>
    <row r="33" spans="1:1" ht="6" customHeight="1"/>
    <row r="34" spans="1:1">
      <c r="A34" s="439" t="str">
        <f>Criterios!A4</f>
        <v>Fecha Informe: 14 abr. 2023</v>
      </c>
    </row>
    <row r="39" spans="1:1">
      <c r="A39" s="462"/>
    </row>
  </sheetData>
  <sheetProtection algorithmName="SHA-512" hashValue="LrWzOiZyvJOB1qvTj9ju0LVmiYqA9OX44omZfA/owA66V7tqIpt8s/xEJ2avg/vMaXdFEjqT9sLwqGniW4QzkQ==" saltValue="d6IAGhPR2wgxYid9qeJO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DENIA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-7.5743913435527499E-2</v>
      </c>
      <c r="C9" s="515">
        <f>IF(ISNUMBER(
   IF(J_V="SI",(Datos!J9-Datos!T9)/Datos!T9,(Datos!J9+Datos!Z9-(Datos!T9+Datos!AH9))/(Datos!T9+Datos!AH9))
     ),IF(J_V="SI",(Datos!J9-Datos!T9)/Datos!T9,(Datos!J9+Datos!Z9-(Datos!T9+Datos!AH9))/(Datos!T9+Datos!AH9))," - ")</f>
        <v>0.11149779146031322</v>
      </c>
      <c r="D9" s="515">
        <f>IF(ISNUMBER(
   IF(J_V="SI",(Datos!K9-Datos!U9)/Datos!U9,(Datos!K9+Datos!AA9-(Datos!U9+Datos!AI9))/(Datos!U9+Datos!AI9))
     ),IF(J_V="SI",(Datos!K9-Datos!U9)/Datos!U9,(Datos!K9+Datos!AA9-(Datos!U9+Datos!AI9))/(Datos!U9+Datos!AI9))," - ")</f>
        <v>0.15067038364529403</v>
      </c>
      <c r="E9" s="515">
        <f>IF(ISNUMBER(
   IF(J_V="SI",(Datos!L9-Datos!V9)/Datos!V9,(Datos!L9+Datos!AB9-(Datos!V9+Datos!AJ9))/(Datos!V9+Datos!AJ9))
     ),IF(J_V="SI",(Datos!L9-Datos!V9)/Datos!V9,(Datos!L9+Datos!AB9-(Datos!V9+Datos!AJ9))/(Datos!V9+Datos!AJ9))," - ")</f>
        <v>-0.17073170731707318</v>
      </c>
      <c r="F9" s="515">
        <f>IF(ISNUMBER((Datos!M9-Datos!W9)/Datos!W9),(Datos!M9-Datos!W9)/Datos!W9," - ")</f>
        <v>0.14458560193587416</v>
      </c>
      <c r="G9" s="516">
        <f>IF(ISNUMBER((Datos!N9-Datos!X9)/Datos!X9),(Datos!N9-Datos!X9)/Datos!X9," - ")</f>
        <v>0.27828854314002827</v>
      </c>
      <c r="H9" s="514">
        <f>IF(ISNUMBER(((NºAsuntos!G9/NºAsuntos!E9)-Datos!BD9)/Datos!BD9),((NºAsuntos!G9/NºAsuntos!E9)-Datos!BD9)/Datos!BD9," - ")</f>
        <v>3.5243067944844796E-2</v>
      </c>
      <c r="I9" s="515">
        <f>IF(ISNUMBER(((NºAsuntos!I9/NºAsuntos!G9)-Datos!BE9)/Datos!BE9),((NºAsuntos!I9/NºAsuntos!G9)-Datos!BE9)/Datos!BE9," - ")</f>
        <v>-0.27931725325559675</v>
      </c>
      <c r="J9" s="521">
        <f>IF(ISNUMBER((('Resol  Asuntos'!D9/NºAsuntos!G9)-Datos!BF9)/Datos!BF9),(('Resol  Asuntos'!D9/NºAsuntos!G9)-Datos!BF9)/Datos!BF9," - ")</f>
        <v>-0.41857889559804423</v>
      </c>
      <c r="K9" s="522">
        <f>IF(ISNUMBER((((NºAsuntos!C9+NºAsuntos!E9)/NºAsuntos!G9)-Datos!BG9)/Datos!BG9),(((NºAsuntos!C9+NºAsuntos!E9)/NºAsuntos!G9)-Datos!BG9)/Datos!BG9," - ")</f>
        <v>-8.4180599938476611E-2</v>
      </c>
    </row>
    <row r="10" spans="1:11">
      <c r="A10" s="450" t="str">
        <f>Datos!A10</f>
        <v>Jdos. Violencia contra la mujer</v>
      </c>
      <c r="B10" s="514">
        <f>IF(ISNUMBER((Datos!I10-Datos!S10)/Datos!S10),(Datos!I10-Datos!S10)/Datos!S10," - ")</f>
        <v>-2.1739130434782608E-2</v>
      </c>
      <c r="C10" s="515">
        <f>IF(ISNUMBER((Datos!J10-Datos!T10)/Datos!T10),(Datos!J10-Datos!T10)/Datos!T10," - ")</f>
        <v>-0.17460317460317459</v>
      </c>
      <c r="D10" s="515">
        <f>IF(ISNUMBER((Datos!K10-Datos!U10)/Datos!U10),(Datos!K10-Datos!U10)/Datos!U10," - ")</f>
        <v>-0.2421875</v>
      </c>
      <c r="E10" s="515">
        <f>IF(ISNUMBER((Datos!L10-Datos!V10)/Datos!V10),(Datos!L10-Datos!V10)/Datos!V10," - ")</f>
        <v>7.7777777777777779E-2</v>
      </c>
      <c r="F10" s="515">
        <f>IF(ISNUMBER((Datos!M10-Datos!W10)/Datos!W10),(Datos!M10-Datos!W10)/Datos!W10," - ")</f>
        <v>-0.20967741935483872</v>
      </c>
      <c r="G10" s="516">
        <f>IF(ISNUMBER((Datos!N10-Datos!X10)/Datos!X10),(Datos!N10-Datos!X10)/Datos!X10," - ")</f>
        <v>0.36666666666666664</v>
      </c>
      <c r="H10" s="514">
        <f>IF(ISNUMBER(((NºAsuntos!G10/NºAsuntos!E10)-Datos!BD10)/Datos!BD10),((NºAsuntos!G10/NºAsuntos!E10)-Datos!BD10)/Datos!BD10," - ")</f>
        <v>-8.1881009615384553E-2</v>
      </c>
      <c r="I10" s="515">
        <f>IF(ISNUMBER(((NºAsuntos!I10/NºAsuntos!G10)-Datos!BE10)/Datos!BE10),((NºAsuntos!I10/NºAsuntos!G10)-Datos!BE10)/Datos!BE10," - ")</f>
        <v>0.42222222222222222</v>
      </c>
      <c r="J10" s="521">
        <f>IF(ISNUMBER((('Resol  Asuntos'!D10/NºAsuntos!G10)-Datos!BF10)/Datos!BF10),(('Resol  Asuntos'!D10/NºAsuntos!G10)-Datos!BF10)/Datos!BF10," - ")</f>
        <v>4.2899900232790118E-2</v>
      </c>
      <c r="K10" s="522">
        <f>IF(ISNUMBER((((NºAsuntos!C10+NºAsuntos!E10)/NºAsuntos!G10)-Datos!BG10)/Datos!BG10),(((NºAsuntos!C10+NºAsuntos!E10)/NºAsuntos!G10)-Datos!BG10)/Datos!BG10," - ")</f>
        <v>0.1743119266055046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-7.4290728283123719E-2</v>
      </c>
      <c r="C14" s="1152">
        <f>IF(ISNUMBER(
   IF(J_V="SI",(Datos!J14-Datos!T14)/Datos!T14,(Datos!J14+Datos!Z14-(Datos!T14+Datos!AH14))/(Datos!T14+Datos!AH14))
     ),IF(J_V="SI",(Datos!J14-Datos!T14)/Datos!T14,(Datos!J14+Datos!Z14-(Datos!T14+Datos!AH14))/(Datos!T14+Datos!AH14))," - ")</f>
        <v>0.10675266552586547</v>
      </c>
      <c r="D14" s="1152">
        <f>IF(ISNUMBER(
   IF(J_V="SI",(Datos!K14-Datos!U14)/Datos!U14,(Datos!K14+Datos!AA14-(Datos!U14+Datos!AI14))/(Datos!U14+Datos!AI14))
     ),IF(J_V="SI",(Datos!K14-Datos!U14)/Datos!U14,(Datos!K14+Datos!AA14-(Datos!U14+Datos!AI14))/(Datos!U14+Datos!AI14))," - ")</f>
        <v>0.14410651350998563</v>
      </c>
      <c r="E14" s="1152">
        <f>IF(ISNUMBER(
   IF(J_V="SI",(Datos!L14-Datos!V14)/Datos!V14,(Datos!L14+Datos!AB14-(Datos!V14+Datos!AJ14))/(Datos!V14+Datos!AJ14))
     ),IF(J_V="SI",(Datos!L14-Datos!V14)/Datos!V14,(Datos!L14+Datos!AB14-(Datos!V14+Datos!AJ14))/(Datos!V14+Datos!AJ14))," - ")</f>
        <v>-0.16366508688783571</v>
      </c>
      <c r="F14" s="1153">
        <f>IF(ISNUMBER((Datos!M14-Datos!W14)/Datos!W14),(Datos!M14-Datos!W14)/Datos!W14," - ")</f>
        <v>0.13177842565597667</v>
      </c>
      <c r="G14" s="1154">
        <f>IF(ISNUMBER((Datos!N14-Datos!X14)/Datos!X14),(Datos!N14-Datos!X14)/Datos!X14," - ")</f>
        <v>0.27921623512946114</v>
      </c>
      <c r="H14" s="1154">
        <f>IF(ISNUMBER(((NºAsuntos!G14/NºAsuntos!E14)-Datos!BD14)/Datos!BD14),((NºAsuntos!G14/NºAsuntos!E14)-Datos!BD14)/Datos!BD14," - ")</f>
        <v>3.3750854321522347E-2</v>
      </c>
      <c r="I14" s="1154">
        <f>IF(ISNUMBER(((NºAsuntos!I14/NºAsuntos!G14)-Datos!BE14)/Datos!BE14),((NºAsuntos!I14/NºAsuntos!G14)-Datos!BE14)/Datos!BE14," - ")</f>
        <v>-0.2690060730915812</v>
      </c>
      <c r="J14" s="1154">
        <f>IF(ISNUMBER((('Resol  Asuntos'!D14/NºAsuntos!G14)-Datos!BF14)/Datos!BF14),(('Resol  Asuntos'!D14/NºAsuntos!G14)-Datos!BF14)/Datos!BF14," - ")</f>
        <v>-0.41296873180331495</v>
      </c>
      <c r="K14" s="1154">
        <f>IF(ISNUMBER((((NºAsuntos!C14+NºAsuntos!E14)/NºAsuntos!G14)-Datos!BG14)/Datos!BG14),(((NºAsuntos!C14+NºAsuntos!E14)/NºAsuntos!G14)-Datos!BG14)/Datos!BG14," - ")</f>
        <v>-8.1761352361611916E-2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-0.22810394610202117</v>
      </c>
      <c r="C16" s="515">
        <f>IF(ISNUMBER(
   IF(D_I="SI",(Datos!J16-Datos!T16)/Datos!T16,(Datos!J16+Datos!AD16-(Datos!T16+Datos!AL16))/(Datos!T16+Datos!AL16))
     ),IF(D_I="SI",(Datos!J16-Datos!T16)/Datos!T16,(Datos!J16+Datos!AD16-(Datos!T16+Datos!AL16))/(Datos!T16+Datos!AL16))," - ")</f>
        <v>0.12986226729226577</v>
      </c>
      <c r="D16" s="515">
        <f>IF(ISNUMBER(
   IF(D_I="SI",(Datos!K16-Datos!U16)/Datos!U16,(Datos!K16+Datos!AE16-(Datos!U16+Datos!AM16))/(Datos!U16+Datos!AM16))
     ),IF(D_I="SI",(Datos!K16-Datos!U16)/Datos!U16,(Datos!K16+Datos!AE16-(Datos!U16+Datos!AM16))/(Datos!U16+Datos!AM16))," - ")</f>
        <v>1.7195950630980446E-2</v>
      </c>
      <c r="E16" s="515">
        <f>IF(ISNUMBER(
   IF(D_I="SI",(Datos!L16-Datos!V16)/Datos!V16,(Datos!L16+Datos!AF16-(Datos!V16+Datos!AN16))/(Datos!V16+Datos!AN16))
     ),IF(D_I="SI",(Datos!L16-Datos!V16)/Datos!V16,(Datos!L16+Datos!AF16-(Datos!V16+Datos!AN16))/(Datos!V16+Datos!AN16))," - ")</f>
        <v>0.12905236907730674</v>
      </c>
      <c r="F16" s="515">
        <f>IF(ISNUMBER((Datos!M16-Datos!W16)/Datos!W16),(Datos!M16-Datos!W16)/Datos!W16," - ")</f>
        <v>-9.934735315445975E-2</v>
      </c>
      <c r="G16" s="516">
        <f>IF(ISNUMBER((Datos!N16-Datos!X16)/Datos!X16),(Datos!N16-Datos!X16)/Datos!X16," - ")</f>
        <v>5.1842105263157898E-2</v>
      </c>
      <c r="H16" s="514">
        <f>IF(ISNUMBER(((NºAsuntos!G16/NºAsuntos!E16)-Datos!BD16)/Datos!BD16),((NºAsuntos!G16/NºAsuntos!E16)-Datos!BD16)/Datos!BD16," - ")</f>
        <v>-9.9716859233906607E-2</v>
      </c>
      <c r="I16" s="515">
        <f>IF(ISNUMBER(((NºAsuntos!I16/NºAsuntos!G16)-Datos!BE16)/Datos!BE16),((NºAsuntos!I16/NºAsuntos!G16)-Datos!BE16)/Datos!BE16," - ")</f>
        <v>0.1099654578618213</v>
      </c>
      <c r="J16" s="521">
        <f>IF(ISNUMBER((('Resol  Asuntos'!D16/NºAsuntos!G16)-Datos!BF16)/Datos!BF16),(('Resol  Asuntos'!D16/NºAsuntos!G16)-Datos!BF16)/Datos!BF16," - ")</f>
        <v>-0.11457311023814715</v>
      </c>
      <c r="K16" s="522">
        <f>IF(ISNUMBER((((NºAsuntos!C16+NºAsuntos!E16)/NºAsuntos!G16)-Datos!BG16)/Datos!BG16),(((NºAsuntos!C16+NºAsuntos!E16)/NºAsuntos!G16)-Datos!BG16)/Datos!BG16," - ")</f>
        <v>2.6561462126483248E-2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-5.2631578947368418E-2</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-0.1111111111111111</v>
      </c>
      <c r="F17" s="515" t="str">
        <f>IF(ISNUMBER((Datos!M17-Datos!W17)/Datos!W17),(Datos!M17-Datos!W17)/Datos!W17," - ")</f>
        <v xml:space="preserve"> - </v>
      </c>
      <c r="G17" s="516">
        <f>IF(ISNUMBER((Datos!N17-Datos!X17)/Datos!X17),(Datos!N17-Datos!X17)/Datos!X17," - ")</f>
        <v>1</v>
      </c>
      <c r="H17" s="514" t="str">
        <f>IF(ISNUMBER(((NºAsuntos!G17/NºAsuntos!E17)-Datos!BD17)/Datos!BD17),((NºAsuntos!G17/NºAsuntos!E17)-Datos!BD17)/Datos!BD17," - ")</f>
        <v xml:space="preserve"> - </v>
      </c>
      <c r="I17" s="515">
        <f>IF(ISNUMBER(((NºAsuntos!I17/NºAsuntos!G17)-Datos!BE17)/Datos!BE17),((NºAsuntos!I17/NºAsuntos!G17)-Datos!BE17)/Datos!BE17," - ")</f>
        <v>-0.55555555555555558</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-0.52631578947368418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-0.67493112947658407</v>
      </c>
      <c r="C18" s="515">
        <f>IF(ISNUMBER(
   IF(D_I="SI",(Datos!J18-Datos!T18)/Datos!T18,(Datos!J18+Datos!AD18-(Datos!T18+Datos!AL18))/(Datos!T18+Datos!AL18))
     ),IF(D_I="SI",(Datos!J18-Datos!T18)/Datos!T18,(Datos!J18+Datos!AD18-(Datos!T18+Datos!AL18))/(Datos!T18+Datos!AL18))," - ")</f>
        <v>0.24463937621832357</v>
      </c>
      <c r="D18" s="515">
        <f>IF(ISNUMBER(
   IF(D_I="SI",(Datos!K18-Datos!U18)/Datos!U18,(Datos!K18+Datos!AE18-(Datos!U18+Datos!AM18))/(Datos!U18+Datos!AM18))
     ),IF(D_I="SI",(Datos!K18-Datos!U18)/Datos!U18,(Datos!K18+Datos!AE18-(Datos!U18+Datos!AM18))/(Datos!U18+Datos!AM18))," - ")</f>
        <v>0.1501416430594901</v>
      </c>
      <c r="E18" s="515">
        <f>IF(ISNUMBER(
   IF(D_I="SI",(Datos!L18-Datos!V18)/Datos!V18,(Datos!L18+Datos!AF18-(Datos!V18+Datos!AN18))/(Datos!V18+Datos!AN18))
     ),IF(D_I="SI",(Datos!L18-Datos!V18)/Datos!V18,(Datos!L18+Datos!AF18-(Datos!V18+Datos!AN18))/(Datos!V18+Datos!AN18))," - ")</f>
        <v>0.5423728813559322</v>
      </c>
      <c r="F18" s="515">
        <f>IF(ISNUMBER((Datos!M18-Datos!W18)/Datos!W18),(Datos!M18-Datos!W18)/Datos!W18," - ")</f>
        <v>0.14832535885167464</v>
      </c>
      <c r="G18" s="516">
        <f>IF(ISNUMBER((Datos!N18-Datos!X18)/Datos!X18),(Datos!N18-Datos!X18)/Datos!X18," - ")</f>
        <v>0.15944881889763779</v>
      </c>
      <c r="H18" s="514">
        <f>IF(ISNUMBER(((NºAsuntos!G18/NºAsuntos!E18)-Datos!BD18)/Datos!BD18),((NºAsuntos!G18/NºAsuntos!E18)-Datos!BD18)/Datos!BD18," - ")</f>
        <v>-7.5923785607645441E-2</v>
      </c>
      <c r="I18" s="515">
        <f>IF(ISNUMBER(((NºAsuntos!I18/NºAsuntos!G18)-Datos!BE18)/Datos!BE18),((NºAsuntos!I18/NºAsuntos!G18)-Datos!BE18)/Datos!BE18," - ")</f>
        <v>0.34102863822326135</v>
      </c>
      <c r="J18" s="521">
        <f>IF(ISNUMBER((('Resol  Asuntos'!D18/NºAsuntos!G18)-Datos!BF18)/Datos!BF18),(('Resol  Asuntos'!D18/NºAsuntos!G18)-Datos!BF18)/Datos!BF18," - ")</f>
        <v>-1.579183067386267E-3</v>
      </c>
      <c r="K18" s="522">
        <f>IF(ISNUMBER((((NºAsuntos!C18+NºAsuntos!E18)/NºAsuntos!G18)-Datos!BG18)/Datos!BG18),(((NºAsuntos!C18+NºAsuntos!E18)/NºAsuntos!G18)-Datos!BG18)/Datos!BG18," - ")</f>
        <v>-0.12678611326857395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-0.29268292682926828</v>
      </c>
      <c r="C23" s="1152">
        <f>IF(ISNUMBER(
   IF(Criterios!B14="SI",(Datos!J23-Datos!T23)/Datos!T23,(Datos!J23+Datos!AD23-(Datos!T23+Datos!AL23))/(Datos!T23+Datos!AL23))
     ),IF(Criterios!B14="SI",(Datos!J23-Datos!T23)/Datos!T23,(Datos!J23+Datos!AD23-(Datos!T23+Datos!AL23))/(Datos!T23+Datos!AL23))," - ")</f>
        <v>0.14529018734442553</v>
      </c>
      <c r="D23" s="1152">
        <f>IF(ISNUMBER(
   IF(Criterios!B14="SI",(Datos!K23-Datos!U23)/Datos!U23,(Datos!K23+Datos!AE23-(Datos!U23+Datos!AM23))/(Datos!U23+Datos!AM23))
     ),IF(Criterios!B14="SI",(Datos!K23-Datos!U23)/Datos!U23,(Datos!K23+Datos!AE23-(Datos!U23+Datos!AM23))/(Datos!U23+Datos!AM23))," - ")</f>
        <v>3.4336839559908114E-2</v>
      </c>
      <c r="E23" s="1152">
        <f>IF(ISNUMBER(
   IF(Criterios!B14="SI",(Datos!L23-Datos!V23)/Datos!V23,(Datos!L23+Datos!AF23-(Datos!V23+Datos!AN23))/(Datos!V23+Datos!AN23))
     ),IF(Criterios!B14="SI",(Datos!L23-Datos!V23)/Datos!V23,(Datos!L23+Datos!AF23-(Datos!V23+Datos!AN23))/(Datos!V23+Datos!AN23))," - ")</f>
        <v>0.15459770114942528</v>
      </c>
      <c r="F23" s="1153">
        <f>IF(ISNUMBER((Datos!M23-Datos!W23)/Datos!W23),(Datos!M23-Datos!W23)/Datos!W23," - ")</f>
        <v>-6.6750629722921909E-2</v>
      </c>
      <c r="G23" s="1154">
        <f>IF(ISNUMBER((Datos!N23-Datos!X23)/Datos!X23),(Datos!N23-Datos!X23)/Datos!X23," - ")</f>
        <v>6.4748201438848921E-2</v>
      </c>
      <c r="H23" s="1154">
        <f>IF(ISNUMBER(((NºAsuntos!G23/NºAsuntos!E23)-Datos!BD23)/Datos!BD23),((NºAsuntos!G23/NºAsuntos!E23)-Datos!BD23)/Datos!BD23," - ")</f>
        <v>-9.6877934527478893E-2</v>
      </c>
      <c r="I23" s="1154">
        <f>IF(ISNUMBER(((NºAsuntos!I23/NºAsuntos!G23)-Datos!BE23)/Datos!BE23),((NºAsuntos!I23/NºAsuntos!G23)-Datos!BE23)/Datos!BE23," - ")</f>
        <v>0.11626856647655137</v>
      </c>
      <c r="J23" s="1154">
        <f>IF(ISNUMBER((('Resol  Asuntos'!D23/NºAsuntos!G23)-Datos!BF23)/Datos!BF23),(('Resol  Asuntos'!D23/NºAsuntos!G23)-Datos!BF23)/Datos!BF23," - ")</f>
        <v>-9.7731672523470189E-2</v>
      </c>
      <c r="K23" s="1154">
        <f>IF(ISNUMBER((((NºAsuntos!C23+NºAsuntos!E23)/NºAsuntos!G23)-Datos!BG23)/Datos!BG23),(((NºAsuntos!C23+NºAsuntos!E23)/NºAsuntos!G23)-Datos!BG23)/Datos!BG23," - ")</f>
        <v>4.0651398452602331E-3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-0.16567443442762375</v>
      </c>
      <c r="C31" s="1092">
        <f>IF(ISNUMBER(
   IF(J_V="SI",(Datos!J31-Datos!T31)/Datos!T31,(Datos!J31+Datos!Z31-(Datos!T31+Datos!AH31))/(Datos!T31+Datos!AH31))
     ),IF(J_V="SI",(Datos!J31-Datos!T31)/Datos!T31,(Datos!J31+Datos!Z31-(Datos!T31+Datos!AH31))/(Datos!T31+Datos!AH31))," - ")</f>
        <v>0.12606697307944845</v>
      </c>
      <c r="D31" s="1092">
        <f>IF(ISNUMBER(
   IF(J_V="SI",(Datos!K31-Datos!U31)/Datos!U31,(Datos!K31+Datos!AA31-(Datos!U31+Datos!AI31))/(Datos!U31+Datos!AI31))
     ),IF(J_V="SI",(Datos!K31-Datos!U31)/Datos!U31,(Datos!K31+Datos!AA31-(Datos!U31+Datos!AI31))/(Datos!U31+Datos!AI31))," - ")</f>
        <v>8.7120261109716296E-2</v>
      </c>
      <c r="E31" s="1092">
        <f>IF(ISNUMBER(
   IF(J_V="SI",(Datos!L31-Datos!V31)/Datos!V31,(Datos!L31+Datos!AB31-(Datos!V31+Datos!AJ31))/(Datos!V31+Datos!AJ31))
     ),IF(J_V="SI",(Datos!L31-Datos!V31)/Datos!V31,(Datos!L31+Datos!AB31-(Datos!V31+Datos!AJ31))/(Datos!V31+Datos!AJ31))," - ")</f>
        <v>-5.0764525993883793E-2</v>
      </c>
      <c r="F31" s="1093">
        <f>IF(ISNUMBER((Datos!M31-Datos!W31)/Datos!W31),(Datos!M31-Datos!W31)/Datos!W31," - ")</f>
        <v>3.6330608537693009E-2</v>
      </c>
      <c r="G31" s="1094">
        <f>IF(ISNUMBER((Datos!N31-Datos!X31)/Datos!X31),(Datos!N31-Datos!X31)/Datos!X31," - ")</f>
        <v>0.15027208036835496</v>
      </c>
      <c r="H31" s="1095">
        <f>IF(ISNUMBER((Tasas!B31-Datos!BD31)/Datos!BD31),(Tasas!B31-Datos!BD31)/Datos!BD31," - ")</f>
        <v>-3.4586496985365665E-2</v>
      </c>
      <c r="I31" s="1096">
        <f>IF(ISNUMBER((Tasas!C31-Datos!BE31)/Datos!BE31),(Tasas!C31-Datos!BE31)/Datos!BE31," - ")</f>
        <v>-0.12683489769830003</v>
      </c>
      <c r="J31" s="1097">
        <f>IF(ISNUMBER((Tasas!D31-Datos!BF31)/Datos!BF31),(Tasas!D31-Datos!BF31)/Datos!BF31," - ")</f>
        <v>-0.2968544704570561</v>
      </c>
      <c r="K31" s="1097">
        <f>IF(ISNUMBER((Tasas!E31-Datos!BG31)/Datos!BG31),(Tasas!E31-Datos!BG31)/Datos!BG31," - ")</f>
        <v>-3.8914970869883762E-2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WUtii3E27uSQODY0JXf9jvZvtnQN8TSwye/UKV5KCqYy61zcdp/yWjy1mmGGnzJ3HmLtlzgjQjXKbXS9jlbRA==" saltValue="2hEk+LXdJTJ7qpC5K2IC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DENIA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1.04383429672447</v>
      </c>
      <c r="C9" s="498">
        <f>IF(ISNUMBER(NºAsuntos!I9/NºAsuntos!G9),NºAsuntos!I9/NºAsuntos!G9," - ")</f>
        <v>0.29418550992155051</v>
      </c>
      <c r="D9" s="499">
        <f>IF(ISNUMBER('Resol  Asuntos'!D9/NºAsuntos!G9),'Resol  Asuntos'!D9/NºAsuntos!G9," - ")</f>
        <v>0.21827411167512689</v>
      </c>
      <c r="E9" s="500">
        <f>IF(ISNUMBER((NºAsuntos!C9+NºAsuntos!E9)/NºAsuntos!G9),(NºAsuntos!C9+NºAsuntos!E9)/NºAsuntos!G9," - ")</f>
        <v>1.3127595754499308</v>
      </c>
      <c r="G9" s="523"/>
    </row>
    <row r="10" spans="1:7">
      <c r="A10" s="450" t="str">
        <f>Datos!A10</f>
        <v>Jdos. Violencia contra la mujer</v>
      </c>
      <c r="B10" s="497">
        <f>IF(ISNUMBER(NºAsuntos!G10/NºAsuntos!E10),NºAsuntos!G10/NºAsuntos!E10," - ")</f>
        <v>0.93269230769230771</v>
      </c>
      <c r="C10" s="498">
        <f>IF(ISNUMBER(NºAsuntos!I10/NºAsuntos!G10),NºAsuntos!I10/NºAsuntos!G10," - ")</f>
        <v>1</v>
      </c>
      <c r="D10" s="499">
        <f>IF(ISNUMBER('Resol  Asuntos'!D10/NºAsuntos!G10),'Resol  Asuntos'!D10/NºAsuntos!G10," - ")</f>
        <v>0.50515463917525771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1.0424595623215984</v>
      </c>
      <c r="C14" s="1156">
        <f>IF(ISNUMBER(NºAsuntos!I14/NºAsuntos!G14),NºAsuntos!I14/NºAsuntos!G14," - ")</f>
        <v>0.30199657729606388</v>
      </c>
      <c r="D14" s="1157">
        <f>IF(ISNUMBER('Resol  Asuntos'!D14/NºAsuntos!G14),'Resol  Asuntos'!D14/NºAsuntos!G14," - ")</f>
        <v>0.22144894466628637</v>
      </c>
      <c r="E14" s="1158">
        <f>IF(ISNUMBER((NºAsuntos!C14+NºAsuntos!E14)/NºAsuntos!G14),(NºAsuntos!C14+NºAsuntos!E14)/NºAsuntos!G14," - ")</f>
        <v>1.3203650884198517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0.98258539852645677</v>
      </c>
      <c r="C16" s="498">
        <f>IF(ISNUMBER(NºAsuntos!I16/NºAsuntos!G16),NºAsuntos!I16/NºAsuntos!G16," - ")</f>
        <v>0.2468984321745058</v>
      </c>
      <c r="D16" s="499">
        <f>IF(ISNUMBER('Resol  Asuntos'!D16/NºAsuntos!G16),'Resol  Asuntos'!D16/NºAsuntos!G16," - ")</f>
        <v>0.16932515337423312</v>
      </c>
      <c r="E16" s="500">
        <f>IF(ISNUMBER((NºAsuntos!C16+NºAsuntos!E16)/NºAsuntos!G16),(NºAsuntos!C16+NºAsuntos!E16)/NºAsuntos!G16," - ")</f>
        <v>1.2364008179959101</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8</v>
      </c>
      <c r="D17" s="499">
        <f>IF(ISNUMBER('Resol  Asuntos'!D17/NºAsuntos!G17),'Resol  Asuntos'!D17/NºAsuntos!G17," - ")</f>
        <v>0</v>
      </c>
      <c r="E17" s="500">
        <f>IF(ISNUMBER((NºAsuntos!C17+NºAsuntos!E17)/NºAsuntos!G17),(NºAsuntos!C17+NºAsuntos!E17)/NºAsuntos!G17," - ")</f>
        <v>9</v>
      </c>
      <c r="G17" s="523"/>
    </row>
    <row r="18" spans="1:7">
      <c r="A18" s="450" t="str">
        <f>Datos!A18</f>
        <v>Jdos. Violencia contra la mujer</v>
      </c>
      <c r="B18" s="497">
        <f>IF(ISNUMBER(NºAsuntos!G18/NºAsuntos!E18),NºAsuntos!G18/NºAsuntos!E18," - ")</f>
        <v>0.95379796397807359</v>
      </c>
      <c r="C18" s="498">
        <f>IF(ISNUMBER(NºAsuntos!I18/NºAsuntos!G18),NºAsuntos!I18/NºAsuntos!G18," - ")</f>
        <v>0.14942528735632185</v>
      </c>
      <c r="D18" s="499">
        <f>IF(ISNUMBER('Resol  Asuntos'!D18/NºAsuntos!G18),'Resol  Asuntos'!D18/NºAsuntos!G18," - ")</f>
        <v>0.19704433497536947</v>
      </c>
      <c r="E18" s="500">
        <f>IF(ISNUMBER((NºAsuntos!C18+NºAsuntos!E18)/NºAsuntos!G18),(NºAsuntos!C18+NºAsuntos!E18)/NºAsuntos!G18," - ")</f>
        <v>1.145320197044335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0.97860901395561661</v>
      </c>
      <c r="C23" s="1156">
        <f>IF(ISNUMBER(NºAsuntos!I23/NºAsuntos!G23),NºAsuntos!I23/NºAsuntos!G23," - ")</f>
        <v>0.23483343074225599</v>
      </c>
      <c r="D23" s="1159">
        <f>IF(ISNUMBER('Resol  Asuntos'!D23/NºAsuntos!G23),'Resol  Asuntos'!D23/NºAsuntos!G23," - ")</f>
        <v>0.17323202805376972</v>
      </c>
      <c r="E23" s="1158">
        <f>IF(ISNUMBER((NºAsuntos!C23+NºAsuntos!E23)/NºAsuntos!G23),(NºAsuntos!C23+NºAsuntos!E23)/NºAsuntos!G23," - ")</f>
        <v>1.2252483927527762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1.0099125364431487</v>
      </c>
      <c r="C31" s="1099">
        <f>IF(ISNUMBER(NºAsuntos!I31/NºAsuntos!G31),NºAsuntos!I31/NºAsuntos!G31," - ")</f>
        <v>0.26882217090069283</v>
      </c>
      <c r="D31" s="1100">
        <f>IF(ISNUMBER('Resol  Asuntos'!D31/NºAsuntos!G31),'Resol  Asuntos'!D31/NºAsuntos!G31," - ")</f>
        <v>0.19763279445727483</v>
      </c>
      <c r="E31" s="1101">
        <f>IF(ISNUMBER((NºAsuntos!C31+NºAsuntos!E31)/NºAsuntos!G31),(NºAsuntos!C31+NºAsuntos!E31)/NºAsuntos!G31," - ")</f>
        <v>1.2733833718244805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c4OSuNMa7QLgy5W++8Kr25QQ1g1FI2bZi9gyfwT5WoaqSWqkgf9P/Xvw9QcqQZ1aashqFwT20caPrlxJBekPQ==" saltValue="cdXfj0tyqpF7hXAvXa2R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DENIA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2042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1717</v>
      </c>
      <c r="Y9" s="374">
        <f>SUM(W9:X9)</f>
        <v>1717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7925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1892</v>
      </c>
      <c r="AJ9" s="243" t="str">
        <f>IF(ISNUMBER(Datos!BW9),Datos!BW9," - ")</f>
        <v xml:space="preserve"> - </v>
      </c>
      <c r="AK9" s="242" t="str">
        <f>IF(ISNUMBER(Datos!BX9),Datos!BX9," - ")</f>
        <v xml:space="preserve"> - </v>
      </c>
      <c r="AL9" s="266">
        <f>IF(ISNUMBER(NºAsuntos!G9/NºAsuntos!E9),NºAsuntos!G9/NºAsuntos!E9," - ")</f>
        <v>1.04383429672447</v>
      </c>
      <c r="AM9" s="284">
        <f>IF(ISNUMBER(((NºAsuntos!I9/NºAsuntos!G9)*11)/factor_trimestre),((NºAsuntos!I9/NºAsuntos!G9)*11)/factor_trimestre," - ")</f>
        <v>3.2360406091370555</v>
      </c>
      <c r="AN9" s="267">
        <f>IF(ISNUMBER('Resol  Asuntos'!D9/NºAsuntos!G9),'Resol  Asuntos'!D9/NºAsuntos!G9," - ")</f>
        <v>0.21827411167512689</v>
      </c>
      <c r="AO9" s="268">
        <f>IF(ISNUMBER((NºAsuntos!C9+NºAsuntos!E9)/NºAsuntos!G9),(NºAsuntos!C9+NºAsuntos!E9)/NºAsuntos!G9," - ")</f>
        <v>1.3127595754499308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97</v>
      </c>
      <c r="X10" s="240">
        <f>IF(ISNUMBER(Datos!Q10),Datos!Q10," - ")</f>
        <v>7</v>
      </c>
      <c r="Y10" s="374">
        <f t="shared" ref="Y10:Y13" si="0">SUM(W10:X10)</f>
        <v>104</v>
      </c>
      <c r="Z10" s="375" t="str">
        <f>IF(ISNUMBER(Datos!CC10),Datos!CC10," - ")</f>
        <v xml:space="preserve"> - </v>
      </c>
      <c r="AA10" s="372">
        <f>IF(ISNUMBER(Datos!L10),Datos!L10,"-")</f>
        <v>97</v>
      </c>
      <c r="AB10" s="374">
        <f>IF(ISNUMBER(Datos!R10),Datos!R10," - ")</f>
        <v>68</v>
      </c>
      <c r="AC10" s="374">
        <f t="shared" ref="AC10:AC13" si="1">IF(ISNUMBER(AA10+AB10),AA10+AB10," - ")</f>
        <v>165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49</v>
      </c>
      <c r="AJ10" s="245" t="str">
        <f>IF(ISNUMBER(Datos!BW10),Datos!BW10," - ")</f>
        <v xml:space="preserve"> - </v>
      </c>
      <c r="AK10" s="246" t="str">
        <f>IF(ISNUMBER(Datos!BX10),Datos!BX10," - ")</f>
        <v xml:space="preserve"> - </v>
      </c>
      <c r="AL10" s="266">
        <f>IF(ISNUMBER(NºAsuntos!G10/NºAsuntos!E10),NºAsuntos!G10/NºAsuntos!E10," - ")</f>
        <v>0.93269230769230771</v>
      </c>
      <c r="AM10" s="284">
        <f>IF(ISNUMBER(((NºAsuntos!I10/NºAsuntos!G10)*11)/factor_trimestre),((NºAsuntos!I10/NºAsuntos!G10)*11)/factor_trimestre," - ")</f>
        <v>11</v>
      </c>
      <c r="AN10" s="267">
        <f>IF(ISNUMBER('Resol  Asuntos'!D10/NºAsuntos!G10),'Resol  Asuntos'!D10/NºAsuntos!G10," - ")</f>
        <v>0.50515463917525771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90</v>
      </c>
      <c r="G14" s="1163">
        <f t="shared" si="5"/>
        <v>90</v>
      </c>
      <c r="H14" s="1162">
        <f t="shared" si="5"/>
        <v>0</v>
      </c>
      <c r="I14" s="1164">
        <f t="shared" si="5"/>
        <v>0</v>
      </c>
      <c r="J14" s="1164">
        <f t="shared" si="5"/>
        <v>0</v>
      </c>
      <c r="K14" s="1164">
        <f t="shared" si="5"/>
        <v>0</v>
      </c>
      <c r="L14" s="1164">
        <f t="shared" si="5"/>
        <v>2055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97</v>
      </c>
      <c r="X14" s="1164">
        <f t="shared" si="6"/>
        <v>1724</v>
      </c>
      <c r="Y14" s="1165">
        <f t="shared" si="6"/>
        <v>1821</v>
      </c>
      <c r="Z14" s="1165">
        <f t="shared" si="6"/>
        <v>0</v>
      </c>
      <c r="AA14" s="1165">
        <f t="shared" si="6"/>
        <v>97</v>
      </c>
      <c r="AB14" s="1165">
        <f t="shared" si="6"/>
        <v>7993</v>
      </c>
      <c r="AC14" s="1165">
        <f t="shared" si="6"/>
        <v>165</v>
      </c>
      <c r="AD14" s="1165">
        <f t="shared" si="6"/>
        <v>0</v>
      </c>
      <c r="AE14" s="1169">
        <f t="shared" si="6"/>
        <v>0</v>
      </c>
      <c r="AF14" s="1162">
        <f t="shared" si="6"/>
        <v>0</v>
      </c>
      <c r="AG14" s="1170">
        <f t="shared" si="6"/>
        <v>0</v>
      </c>
      <c r="AH14" s="1167">
        <f t="shared" si="6"/>
        <v>0</v>
      </c>
      <c r="AI14" s="1162">
        <f t="shared" si="6"/>
        <v>1941</v>
      </c>
      <c r="AJ14" s="1164">
        <f t="shared" si="6"/>
        <v>0</v>
      </c>
      <c r="AK14" s="1167">
        <f>SUBTOTAL(9,AK9:AK13)</f>
        <v>0</v>
      </c>
      <c r="AL14" s="1171">
        <f>IF(ISNUMBER(NºAsuntos!G14/NºAsuntos!E14),NºAsuntos!G14/NºAsuntos!E14," - ")</f>
        <v>1.0424595623215984</v>
      </c>
      <c r="AM14" s="1171">
        <f>IF(ISNUMBER(((NºAsuntos!I14/NºAsuntos!G14)*11)/factor_trimestre),((NºAsuntos!I14/NºAsuntos!G14)*11)/factor_trimestre," - ")</f>
        <v>3.3219623502567028</v>
      </c>
      <c r="AN14" s="1172">
        <f>IF(ISNUMBER('Resol  Asuntos'!D14/NºAsuntos!G14),'Resol  Asuntos'!D14/NºAsuntos!G14," - ")</f>
        <v>0.22144894466628637</v>
      </c>
      <c r="AO14" s="1173">
        <f>IF(ISNUMBER((NºAsuntos!C14+NºAsuntos!E14)/NºAsuntos!G14),(NºAsuntos!C14+NºAsuntos!E14)/NºAsuntos!G14," - ")</f>
        <v>1.3203650884198517</v>
      </c>
      <c r="AP14" s="1174" t="str">
        <f t="shared" si="2"/>
        <v xml:space="preserve"> - </v>
      </c>
      <c r="AQ14" s="1174">
        <f>IF(ISNUMBER((H14-W14+K14)/(F14)),(H14-W14+K14)/(F14)," - ")</f>
        <v>-1.0777777777777777</v>
      </c>
      <c r="AR14" s="1175">
        <f>IF(ISNUMBER((Datos!P14-Datos!Q14)/(Datos!R14-Datos!P14+Datos!Q14)),(Datos!P14-Datos!Q14)/(Datos!R14-Datos!P14+Datos!Q14)," - ")</f>
        <v>4.3200208822761682E-2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1681</v>
      </c>
      <c r="G16" s="373">
        <f>IF(ISNUMBER(IF(D_I="SI",Datos!I16,Datos!I16+Datos!AC16)),IF(D_I="SI",Datos!I16,Datos!I16+Datos!AC16)," - ")</f>
        <v>1604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338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7335</v>
      </c>
      <c r="X16" s="240">
        <f>IF(ISNUMBER(Datos!Q16),Datos!Q16," - ")</f>
        <v>412</v>
      </c>
      <c r="Y16" s="374">
        <f>SUM(W16)</f>
        <v>7335</v>
      </c>
      <c r="Z16" s="375" t="str">
        <f>IF(ISNUMBER(Datos!CC16),Datos!CC16," - ")</f>
        <v xml:space="preserve"> - </v>
      </c>
      <c r="AA16" s="372">
        <f>IF(ISNUMBER(IF(D_I="SI",Datos!L16,Datos!L16+Datos!AF16)),IF(D_I="SI",Datos!L16,Datos!L16+Datos!AF16)," - ")</f>
        <v>1811</v>
      </c>
      <c r="AB16" s="374">
        <f>IF(ISNUMBER(Datos!R16),Datos!R16," - ")</f>
        <v>254</v>
      </c>
      <c r="AC16" s="374">
        <f t="shared" ref="AC16:AC22" si="8">IF(ISNUMBER(AA16+AB16),AA16+AB16," - ")</f>
        <v>2065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1242</v>
      </c>
      <c r="AJ16" s="245" t="str">
        <f>IF(ISNUMBER(Datos!BW16),Datos!BW16," - ")</f>
        <v xml:space="preserve"> - </v>
      </c>
      <c r="AK16" s="246" t="str">
        <f>IF(ISNUMBER(Datos!BX16),Datos!BX16," - ")</f>
        <v xml:space="preserve"> - </v>
      </c>
      <c r="AL16" s="266">
        <f>IF(ISNUMBER(NºAsuntos!G16/NºAsuntos!E16),NºAsuntos!G16/NºAsuntos!E16," - ")</f>
        <v>0.98258539852645677</v>
      </c>
      <c r="AM16" s="284">
        <f>IF(ISNUMBER(((NºAsuntos!I16/NºAsuntos!G16)*11)/factor_trimestre),((NºAsuntos!I16/NºAsuntos!G16)*11)/factor_trimestre," - ")</f>
        <v>2.7158827539195638</v>
      </c>
      <c r="AN16" s="267">
        <f>IF(ISNUMBER('Resol  Asuntos'!D16/NºAsuntos!G16),'Resol  Asuntos'!D16/NºAsuntos!G16," - ")</f>
        <v>0.16932515337423312</v>
      </c>
      <c r="AO16" s="268">
        <f>IF(ISNUMBER((NºAsuntos!C16+NºAsuntos!E16)/NºAsuntos!G16),(NºAsuntos!C16+NºAsuntos!E16)/NºAsuntos!G16," - ")</f>
        <v>1.2364008179959101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18</v>
      </c>
      <c r="G17" s="373">
        <f>IF(ISNUMBER(IF(D_I="SI",Datos!I17,Datos!I17+Datos!AC17)),IF(D_I="SI",Datos!I17,Datos!I17+Datos!AC17)," - ")</f>
        <v>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v>
      </c>
      <c r="X17" s="240">
        <f>IF(ISNUMBER(Datos!Q17),Datos!Q17," - ")</f>
        <v>0</v>
      </c>
      <c r="Y17" s="374">
        <f t="shared" ref="Y17:Y22" si="9">SUM(W17:X17)</f>
        <v>2</v>
      </c>
      <c r="Z17" s="375" t="str">
        <f>IF(ISNUMBER(Datos!CC17),Datos!CC17," - ")</f>
        <v xml:space="preserve"> - </v>
      </c>
      <c r="AA17" s="372">
        <f>IF(ISNUMBER(IF(D_I="SI",Datos!L17,Datos!L17+Datos!AF17)),IF(D_I="SI",Datos!L17,Datos!L17+Datos!AF17)," - ")</f>
        <v>16</v>
      </c>
      <c r="AB17" s="374">
        <f>IF(ISNUMBER(Datos!R17),Datos!R17," - ")</f>
        <v>45</v>
      </c>
      <c r="AC17" s="374">
        <f t="shared" si="8"/>
        <v>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88</v>
      </c>
      <c r="AN17" s="267">
        <f>IF(ISNUMBER('Resol  Asuntos'!D17/NºAsuntos!G17),'Resol  Asuntos'!D17/NºAsuntos!G17," - ")</f>
        <v>0</v>
      </c>
      <c r="AO17" s="268">
        <f>IF(ISNUMBER((NºAsuntos!C17+NºAsuntos!E17)/NºAsuntos!G17),(NºAsuntos!C17+NºAsuntos!E17)/NºAsuntos!G17," - ")</f>
        <v>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1218</v>
      </c>
      <c r="X18" s="240">
        <f>IF(ISNUMBER(Datos!Q18),Datos!Q18," - ")</f>
        <v>37</v>
      </c>
      <c r="Y18" s="374">
        <f t="shared" si="9"/>
        <v>1255</v>
      </c>
      <c r="Z18" s="375" t="str">
        <f>IF(ISNUMBER(Datos!CC18),Datos!CC18," - ")</f>
        <v xml:space="preserve"> - </v>
      </c>
      <c r="AA18" s="372">
        <f>IF(ISNUMBER(Datos!L18),Datos!L18,"-")</f>
        <v>182</v>
      </c>
      <c r="AB18" s="374">
        <f>IF(ISNUMBER(Datos!R18),Datos!R18," - ")</f>
        <v>18</v>
      </c>
      <c r="AC18" s="374">
        <f t="shared" si="8"/>
        <v>200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240</v>
      </c>
      <c r="AJ18" s="245" t="str">
        <f>IF(ISNUMBER(Datos!BW18),Datos!BW18," - ")</f>
        <v xml:space="preserve"> - </v>
      </c>
      <c r="AK18" s="246" t="str">
        <f>IF(ISNUMBER(Datos!BX18),Datos!BX18," - ")</f>
        <v xml:space="preserve"> - </v>
      </c>
      <c r="AL18" s="266">
        <f>IF(ISNUMBER(NºAsuntos!G18/NºAsuntos!E18),NºAsuntos!G18/NºAsuntos!E18," - ")</f>
        <v>0.95379796397807359</v>
      </c>
      <c r="AM18" s="284">
        <f>IF(ISNUMBER(((NºAsuntos!I18/NºAsuntos!G18)*11)/factor_trimestre),((NºAsuntos!I18/NºAsuntos!G18)*11)/factor_trimestre," - ")</f>
        <v>1.6436781609195403</v>
      </c>
      <c r="AN18" s="267">
        <f>IF(ISNUMBER('Resol  Asuntos'!D18/NºAsuntos!G18),'Resol  Asuntos'!D18/NºAsuntos!G18," - ")</f>
        <v>0.19704433497536947</v>
      </c>
      <c r="AO18" s="268">
        <f>IF(ISNUMBER((NºAsuntos!C18+NºAsuntos!E18)/NºAsuntos!G18),(NºAsuntos!C18+NºAsuntos!E18)/NºAsuntos!G18," - ")</f>
        <v>1.145320197044335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1699</v>
      </c>
      <c r="G23" s="1163">
        <f>SUBTOTAL(9,G16:G22)</f>
        <v>1740</v>
      </c>
      <c r="H23" s="1162">
        <f t="shared" ref="H23:O23" si="13">SUBTOTAL(9,H15:H22)</f>
        <v>0</v>
      </c>
      <c r="I23" s="1164">
        <f t="shared" si="13"/>
        <v>0</v>
      </c>
      <c r="J23" s="1164">
        <f t="shared" si="13"/>
        <v>0</v>
      </c>
      <c r="K23" s="1164">
        <f t="shared" si="13"/>
        <v>0</v>
      </c>
      <c r="L23" s="1164">
        <f t="shared" si="13"/>
        <v>387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8555</v>
      </c>
      <c r="X23" s="1164">
        <f t="shared" si="14"/>
        <v>449</v>
      </c>
      <c r="Y23" s="1165">
        <f t="shared" si="14"/>
        <v>8592</v>
      </c>
      <c r="Z23" s="1165">
        <f t="shared" si="14"/>
        <v>0</v>
      </c>
      <c r="AA23" s="1165">
        <f t="shared" si="14"/>
        <v>2009</v>
      </c>
      <c r="AB23" s="1165">
        <f t="shared" si="14"/>
        <v>317</v>
      </c>
      <c r="AC23" s="1165">
        <f t="shared" si="14"/>
        <v>2326</v>
      </c>
      <c r="AD23" s="1165">
        <f t="shared" si="14"/>
        <v>0</v>
      </c>
      <c r="AE23" s="1169">
        <f t="shared" si="14"/>
        <v>0</v>
      </c>
      <c r="AF23" s="1162">
        <f t="shared" si="14"/>
        <v>0</v>
      </c>
      <c r="AG23" s="1170">
        <f t="shared" si="14"/>
        <v>0</v>
      </c>
      <c r="AH23" s="1167">
        <f t="shared" si="14"/>
        <v>0</v>
      </c>
      <c r="AI23" s="1162">
        <f t="shared" si="14"/>
        <v>1482</v>
      </c>
      <c r="AJ23" s="1164">
        <f t="shared" si="14"/>
        <v>0</v>
      </c>
      <c r="AK23" s="1167">
        <f t="shared" si="14"/>
        <v>0</v>
      </c>
      <c r="AL23" s="1171">
        <f>IF(ISNUMBER(NºAsuntos!G23/NºAsuntos!E23),NºAsuntos!G23/NºAsuntos!E23," - ")</f>
        <v>0.97860901395561661</v>
      </c>
      <c r="AM23" s="1171">
        <f>IF(ISNUMBER(((NºAsuntos!I23/NºAsuntos!G23)*11)/factor_trimestre),((NºAsuntos!I23/NºAsuntos!G23)*11)/factor_trimestre," - ")</f>
        <v>2.5831677381648159</v>
      </c>
      <c r="AN23" s="1172">
        <f>IF(ISNUMBER('Resol  Asuntos'!D23/NºAsuntos!G23),'Resol  Asuntos'!D23/NºAsuntos!G23," - ")</f>
        <v>0.17323202805376972</v>
      </c>
      <c r="AO23" s="1173">
        <f>IF(ISNUMBER((NºAsuntos!C23+NºAsuntos!E23)/NºAsuntos!G23),(NºAsuntos!C23+NºAsuntos!E23)/NºAsuntos!G23," - ")</f>
        <v>1.2252483927527762</v>
      </c>
      <c r="AP23" s="1174" t="str">
        <f t="shared" si="2"/>
        <v xml:space="preserve"> - </v>
      </c>
      <c r="AQ23" s="1174">
        <f>IF(ISNUMBER((H23-W23+K23)/(F23)),(H23-W23+K23)/(F23)," - ")</f>
        <v>-5.035314891112419</v>
      </c>
      <c r="AR23" s="1175">
        <f>IF(ISNUMBER((Datos!P23-Datos!Q23)/(Datos!R23-Datos!P23+Datos!Q23)),(Datos!P23-Datos!Q23)/(Datos!R23-Datos!P23+Datos!Q23)," - ")</f>
        <v>-0.16358839050131926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1789</v>
      </c>
      <c r="G31" s="1118">
        <f t="shared" si="20"/>
        <v>1830</v>
      </c>
      <c r="H31" s="1117">
        <f t="shared" si="20"/>
        <v>0</v>
      </c>
      <c r="I31" s="1119">
        <f t="shared" si="20"/>
        <v>0</v>
      </c>
      <c r="J31" s="1119">
        <f t="shared" si="20"/>
        <v>0</v>
      </c>
      <c r="K31" s="1180">
        <f t="shared" si="20"/>
        <v>0</v>
      </c>
      <c r="L31" s="1119">
        <f t="shared" si="20"/>
        <v>2442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8652</v>
      </c>
      <c r="X31" s="1118">
        <f t="shared" si="21"/>
        <v>2173</v>
      </c>
      <c r="Y31" s="1125">
        <f t="shared" si="21"/>
        <v>10413</v>
      </c>
      <c r="Z31" s="1125">
        <f t="shared" si="21"/>
        <v>0</v>
      </c>
      <c r="AA31" s="1125">
        <f t="shared" si="21"/>
        <v>2106</v>
      </c>
      <c r="AB31" s="1125">
        <f t="shared" si="21"/>
        <v>8310</v>
      </c>
      <c r="AC31" s="1125">
        <f t="shared" si="21"/>
        <v>2491</v>
      </c>
      <c r="AD31" s="1125">
        <f t="shared" si="21"/>
        <v>0</v>
      </c>
      <c r="AE31" s="1127">
        <f t="shared" si="21"/>
        <v>0</v>
      </c>
      <c r="AF31" s="1128">
        <f t="shared" si="21"/>
        <v>0</v>
      </c>
      <c r="AG31" s="1129">
        <f t="shared" si="21"/>
        <v>0</v>
      </c>
      <c r="AH31" s="1127">
        <f t="shared" si="21"/>
        <v>0</v>
      </c>
      <c r="AI31" s="1117">
        <f t="shared" si="21"/>
        <v>3423</v>
      </c>
      <c r="AJ31" s="1117">
        <f t="shared" si="21"/>
        <v>0</v>
      </c>
      <c r="AK31" s="1127">
        <f t="shared" si="21"/>
        <v>0</v>
      </c>
      <c r="AL31" s="1183">
        <f>IF(ISNUMBER(NºAsuntos!G31/NºAsuntos!E31),NºAsuntos!G31/NºAsuntos!E31," - ")</f>
        <v>1.0099125364431487</v>
      </c>
      <c r="AM31" s="1184">
        <f>IF(ISNUMBER(((NºAsuntos!I31/NºAsuntos!G31)*11)/factor_trimestre),((NºAsuntos!I31/NºAsuntos!G31)*11)/factor_trimestre," - ")</f>
        <v>2.9570438799076211</v>
      </c>
      <c r="AN31" s="1184">
        <f>IF(ISNUMBER('Resol  Asuntos'!D31/NºAsuntos!G31),'Resol  Asuntos'!D31/NºAsuntos!G31," - ")</f>
        <v>0.19763279445727483</v>
      </c>
      <c r="AO31" s="1185">
        <f>IF(ISNUMBER((NºAsuntos!C31+NºAsuntos!E31)/NºAsuntos!G31),(NºAsuntos!C31+NºAsuntos!E31)/NºAsuntos!G31," - ")</f>
        <v>1.2733833718244805</v>
      </c>
      <c r="AP31" s="1186" t="str">
        <f t="shared" si="2"/>
        <v xml:space="preserve"> - </v>
      </c>
      <c r="AQ31" s="1187">
        <f>IF(OR(ISNUMBER(FIND("01",Criterios!A8,1)),ISNUMBER(FIND("02",Criterios!A8,1)),ISNUMBER(FIND("03",Criterios!A8,1)),ISNUMBER(FIND("04",Criterios!A8,1))),(I31-W31+K31)/(F31-K31),(H31-W31+K31)/(F31-K31))</f>
        <v>-4.8362213527110116</v>
      </c>
      <c r="AR31" s="1188">
        <f>IF(ISNUMBER((Datos!P31-Datos!Q31)/(Datos!R31-Datos!P31+Datos!Q31)),(Datos!P31-Datos!Q31)/(Datos!R31-Datos!P31+Datos!Q31)," - ")</f>
        <v>3.3453550553413758E-2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806.22751722067244</v>
      </c>
      <c r="G33" s="277">
        <f>IF(ISNUMBER(STDEV(G8:G30)),STDEV(G8:G30),"-")</f>
        <v>751.79917531213084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3606.8198101453786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861.57631699112994</v>
      </c>
      <c r="AJ33" s="276">
        <f t="shared" si="25"/>
        <v>0</v>
      </c>
      <c r="AK33" s="278">
        <f t="shared" si="25"/>
        <v>0</v>
      </c>
      <c r="AL33" s="273">
        <f t="shared" si="25"/>
        <v>4.5658699237489039E-2</v>
      </c>
      <c r="AM33" s="274">
        <f t="shared" si="25"/>
        <v>31.87265969133724</v>
      </c>
      <c r="AN33" s="274">
        <f t="shared" si="25"/>
        <v>0.14975537096432998</v>
      </c>
      <c r="AO33" s="275">
        <f t="shared" si="25"/>
        <v>2.8967873042343717</v>
      </c>
      <c r="AP33" s="317" t="str">
        <f t="shared" si="25"/>
        <v>-</v>
      </c>
      <c r="AQ33" s="318">
        <f t="shared" si="25"/>
        <v>2.7984013296363592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k9C+meWrp0UQLnDaFGEIHSmbHn00leardm80CinNBZql2L66NX07p4T/r197gXc67upJumqZgOrNlBZFxMqVQ==" saltValue="ZhBL1lEDJVdEz37bPnAS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DENIA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0.14458560193587416</v>
      </c>
      <c r="I9" s="395">
        <f>IF(ISNUMBER((Tasas!C9-Datos!BE9)/Datos!BE9),(Tasas!C9-Datos!BE9)/Datos!BE9," - ")</f>
        <v>-0.27931725325559675</v>
      </c>
      <c r="J9" s="394">
        <f>IF(ISNUMBER((Tasas!D9-Datos!BF9)/Datos!BF9),(Tasas!D9-Datos!BF9)/Datos!BF9," - ")</f>
        <v>-0.41857889559804423</v>
      </c>
      <c r="K9" s="396">
        <f>IF(ISNUMBER((Tasas!E9-Datos!BG9)/Datos!BG9),(Tasas!E9-Datos!BG9)/Datos!BG9," - ")</f>
        <v>-8.4180599938476611E-2</v>
      </c>
      <c r="M9" t="e">
        <f>IF(Monitorios="SI",Datos!CE9,0)</f>
        <v>#REF!</v>
      </c>
      <c r="N9" t="e">
        <f>IF(Monitorios="SI",Datos!CF9,0)</f>
        <v>#REF!</v>
      </c>
      <c r="O9" t="e">
        <f>IF(Monitorios="SI",Datos!CG9,0)</f>
        <v>#REF!</v>
      </c>
      <c r="P9" t="e">
        <f>IF(Monitorios="SI",Datos!CH9,0)</f>
        <v>#REF!</v>
      </c>
      <c r="Q9">
        <f>IF(J_V="SI",0,Datos!AG9)</f>
        <v>157</v>
      </c>
      <c r="R9">
        <f>IF(J_V="SI",0,Datos!AH9)</f>
        <v>856</v>
      </c>
      <c r="S9">
        <f>IF(J_V="SI",0,Datos!AI9)</f>
        <v>899</v>
      </c>
      <c r="T9">
        <f>IF(J_V="SI",0,Datos!AJ9)</f>
        <v>96</v>
      </c>
    </row>
    <row r="10" spans="2:20" ht="14.25">
      <c r="B10" s="300" t="s">
        <v>321</v>
      </c>
      <c r="C10" s="7" t="str">
        <f>Datos!A10</f>
        <v>Jdos. Violencia contra la mujer</v>
      </c>
      <c r="D10" s="397">
        <f>IF(ISNUMBER((Datos!I10-Datos!S10)/Datos!S10),(Datos!I10-Datos!S10)/Datos!S10," - ")</f>
        <v>-2.1739130434782608E-2</v>
      </c>
      <c r="E10" s="393">
        <f>IF(ISNUMBER((Datos!J10-Datos!T10)/Datos!T10),(Datos!J10-Datos!T10)/Datos!T10," - ")</f>
        <v>-0.17460317460317459</v>
      </c>
      <c r="F10" s="393">
        <f>IF(ISNUMBER((Datos!K10-Datos!U10)/Datos!U10),(Datos!K10-Datos!U10)/Datos!U10," - ")</f>
        <v>-0.2421875</v>
      </c>
      <c r="G10" s="394">
        <f>IF(ISNUMBER((Datos!L10-Datos!V10)/Datos!V10),(Datos!L10-Datos!V10)/Datos!V10," - ")</f>
        <v>7.7777777777777779E-2</v>
      </c>
      <c r="H10" s="244">
        <f>IF(ISNUMBER((Datos!M10-Datos!W10)/Datos!W10),(Datos!M10-Datos!W10)/Datos!W10," - ")</f>
        <v>-0.20967741935483872</v>
      </c>
      <c r="I10" s="395">
        <f>IF(ISNUMBER((Tasas!C10-Datos!BE10)/Datos!BE10),(Tasas!C10-Datos!BE10)/Datos!BE10," - ")</f>
        <v>0.42222222222222222</v>
      </c>
      <c r="J10" s="394">
        <f>IF(ISNUMBER((Tasas!D10-Datos!BF10)/Datos!BF10),(Tasas!D10-Datos!BF10)/Datos!BF10," - ")</f>
        <v>4.2899900232790118E-2</v>
      </c>
      <c r="K10" s="396">
        <f>IF(ISNUMBER((Tasas!E10-Datos!BG10)/Datos!BG10),(Tasas!E10-Datos!BG10)/Datos!BG10," - ")</f>
        <v>0.1743119266055046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0.13177842565597667</v>
      </c>
      <c r="I14" s="402">
        <f>IF(ISNUMBER((Tasas!C14-Datos!BE14)/Datos!BE14),(Tasas!C14-Datos!BE14)/Datos!BE14," - ")</f>
        <v>-0.2690060730915812</v>
      </c>
      <c r="J14" s="400">
        <f>IF(ISNUMBER((Tasas!D14-Datos!BF14)/Datos!BF14),(Tasas!D14-Datos!BF14)/Datos!BF14," - ")</f>
        <v>-0.41296873180331495</v>
      </c>
      <c r="K14" s="403">
        <f>IF(ISNUMBER((Tasas!E14-Datos!BG14)/Datos!BG14),(Tasas!E14-Datos!BG14)/Datos!BG14," - ")</f>
        <v>-8.1761352361611916E-2</v>
      </c>
      <c r="M14" t="e">
        <f>IF(Monitorios="SI",Datos!CE14,0)</f>
        <v>#REF!</v>
      </c>
      <c r="N14" t="e">
        <f>IF(Monitorios="SI",Datos!CF14,0)</f>
        <v>#REF!</v>
      </c>
      <c r="O14" t="e">
        <f>IF(Monitorios="SI",Datos!CG14,0)</f>
        <v>#REF!</v>
      </c>
      <c r="P14" t="e">
        <f>IF(Monitorios="SI",Datos!CH14,0)</f>
        <v>#REF!</v>
      </c>
      <c r="Q14">
        <f>IF(J_V="SI",0,Datos!AG14)</f>
        <v>157</v>
      </c>
      <c r="R14">
        <f>IF(J_V="SI",0,Datos!AH14)</f>
        <v>856</v>
      </c>
      <c r="S14">
        <f>IF(J_V="SI",0,Datos!AI14)</f>
        <v>899</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-0.22810394610202117</v>
      </c>
      <c r="E16" s="393">
        <f>IF(ISNUMBER(
   IF(D_I="SI",(Datos!J16-Datos!T16)/Datos!T16,(Datos!J16+Datos!AD16-(Datos!T16+Datos!AL16))/(Datos!T16+Datos!AL16))
     ),IF(D_I="SI",(Datos!J16-Datos!T16)/Datos!T16,(Datos!J16+Datos!AD16-(Datos!T16+Datos!AL16))/(Datos!T16+Datos!AL16))," - ")</f>
        <v>0.12986226729226577</v>
      </c>
      <c r="F16" s="393">
        <f>IF(ISNUMBER(
   IF(D_I="SI",(Datos!K16-Datos!U16)/Datos!U16,(Datos!K16+Datos!AE16-(Datos!U16+Datos!AM16))/(Datos!U16+Datos!AM16))
     ),IF(D_I="SI",(Datos!K16-Datos!U16)/Datos!U16,(Datos!K16+Datos!AE16-(Datos!U16+Datos!AM16))/(Datos!U16+Datos!AM16))," - ")</f>
        <v>1.7195950630980446E-2</v>
      </c>
      <c r="G16" s="394">
        <f>IF(ISNUMBER(
   IF(D_I="SI",(Datos!L16-Datos!V16)/Datos!V16,(Datos!L16+Datos!AF16-(Datos!V16+Datos!AN16))/(Datos!V16+Datos!AN16))
     ),IF(D_I="SI",(Datos!L16-Datos!V16)/Datos!V16,(Datos!L16+Datos!AF16-(Datos!V16+Datos!AN16))/(Datos!V16+Datos!AN16))," - ")</f>
        <v>0.12905236907730674</v>
      </c>
      <c r="H16" s="244">
        <f>IF(ISNUMBER((Datos!M16-Datos!W16)/Datos!W16),(Datos!M16-Datos!W16)/Datos!W16," - ")</f>
        <v>-9.934735315445975E-2</v>
      </c>
      <c r="I16" s="395">
        <f>IF(ISNUMBER((Tasas!C16-Datos!BE16)/Datos!BE16),(Tasas!C16-Datos!BE16)/Datos!BE16," - ")</f>
        <v>0.1099654578618213</v>
      </c>
      <c r="J16" s="394">
        <f>IF(ISNUMBER((Tasas!D16-Datos!BF16)/Datos!BF16),(Tasas!D16-Datos!BF16)/Datos!BF16," - ")</f>
        <v>-0.11457311023814715</v>
      </c>
      <c r="K16" s="396">
        <f>IF(ISNUMBER((Tasas!E16-Datos!BG16)/Datos!BG16),(Tasas!E16-Datos!BG16)/Datos!BG16," - ")</f>
        <v>2.6561462126483248E-2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-5.2631578947368418E-2</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-0.1111111111111111</v>
      </c>
      <c r="H17" s="244" t="str">
        <f>IF(ISNUMBER((Datos!M17-Datos!W17)/Datos!W17),(Datos!M17-Datos!W17)/Datos!W17," - ")</f>
        <v xml:space="preserve"> - </v>
      </c>
      <c r="I17" s="395">
        <f>IF(ISNUMBER((Tasas!C17-Datos!BE17)/Datos!BE17),(Tasas!C17-Datos!BE17)/Datos!BE17," - ")</f>
        <v>-0.55555555555555558</v>
      </c>
      <c r="J17" s="394" t="str">
        <f>IF(ISNUMBER((Tasas!D17-Datos!BF17)/Datos!BF17),(Tasas!D17-Datos!BF17)/Datos!BF17," - ")</f>
        <v xml:space="preserve"> - </v>
      </c>
      <c r="K17" s="396">
        <f>IF(ISNUMBER((Tasas!E17-Datos!BG17)/Datos!BG17),(Tasas!E17-Datos!BG17)/Datos!BG17," - ")</f>
        <v>-0.52631578947368418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-0.67493112947658407</v>
      </c>
      <c r="E18" s="393">
        <f>IF(ISNUMBER(
   IF(D_I="SI",(Datos!J18-Datos!T18)/Datos!T18,(Datos!J18+Datos!AD18-(Datos!T18+Datos!AL18))/(Datos!T18+Datos!AL18))
     ),IF(D_I="SI",(Datos!J18-Datos!T18)/Datos!T18,(Datos!J18+Datos!AD18-(Datos!T18+Datos!AL18))/(Datos!T18+Datos!AL18))," - ")</f>
        <v>0.24463937621832357</v>
      </c>
      <c r="F18" s="393">
        <f>IF(ISNUMBER(
   IF(D_I="SI",(Datos!K18-Datos!U18)/Datos!U18,(Datos!K18+Datos!AE18-(Datos!U18+Datos!AM18))/(Datos!U18+Datos!AM18))
     ),IF(D_I="SI",(Datos!K18-Datos!U18)/Datos!U18,(Datos!K18+Datos!AE18-(Datos!U18+Datos!AM18))/(Datos!U18+Datos!AM18))," - ")</f>
        <v>0.1501416430594901</v>
      </c>
      <c r="G18" s="394">
        <f>IF(ISNUMBER(
   IF(D_I="SI",(Datos!L18-Datos!V18)/Datos!V18,(Datos!L18+Datos!AF18-(Datos!V18+Datos!AN18))/(Datos!V18+Datos!AN18))
     ),IF(D_I="SI",(Datos!L18-Datos!V18)/Datos!V18,(Datos!L18+Datos!AF18-(Datos!V18+Datos!AN18))/(Datos!V18+Datos!AN18))," - ")</f>
        <v>0.5423728813559322</v>
      </c>
      <c r="H18" s="244">
        <f>IF(ISNUMBER((Datos!M18-Datos!W18)/Datos!W18),(Datos!M18-Datos!W18)/Datos!W18," - ")</f>
        <v>0.14832535885167464</v>
      </c>
      <c r="I18" s="395">
        <f>IF(ISNUMBER((Tasas!C18-Datos!BE18)/Datos!BE18),(Tasas!C18-Datos!BE18)/Datos!BE18," - ")</f>
        <v>0.34102863822326135</v>
      </c>
      <c r="J18" s="394">
        <f>IF(ISNUMBER((Tasas!D18-Datos!BF18)/Datos!BF18),(Tasas!D18-Datos!BF18)/Datos!BF18," - ")</f>
        <v>-1.579183067386267E-3</v>
      </c>
      <c r="K18" s="396">
        <f>IF(ISNUMBER((Tasas!E18-Datos!BG18)/Datos!BG18),(Tasas!E18-Datos!BG18)/Datos!BG18," - ")</f>
        <v>-0.12678611326857395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-0.29268292682926828</v>
      </c>
      <c r="E23" s="399">
        <f>IF(ISNUMBER(
   IF(D_I="SI",(Datos!J23-Datos!T23)/Datos!T23,(Datos!J23+Datos!AD23-(Datos!T23+Datos!AL23))/(Datos!T23+Datos!AL23))
     ),IF(D_I="SI",(Datos!J23-Datos!T23)/Datos!T23,(Datos!J23+Datos!AD23-(Datos!T23+Datos!AL23))/(Datos!T23+Datos!AL23))," - ")</f>
        <v>0.14529018734442553</v>
      </c>
      <c r="F23" s="399">
        <f>IF(ISNUMBER(
   IF(D_I="SI",(Datos!K23-Datos!U23)/Datos!U23,(Datos!K23+Datos!AE23-(Datos!U23+Datos!AM23))/(Datos!U23+Datos!AM23))
     ),IF(D_I="SI",(Datos!K23-Datos!U23)/Datos!U23,(Datos!K23+Datos!AE23-(Datos!U23+Datos!AM23))/(Datos!U23+Datos!AM23))," - ")</f>
        <v>3.4336839559908114E-2</v>
      </c>
      <c r="G23" s="400">
        <f>IF(ISNUMBER(
   IF(D_I="SI",(Datos!L23-Datos!V23)/Datos!V23,(Datos!L23+Datos!AF23-(Datos!V23+Datos!AN23))/(Datos!V23+Datos!AN23))
     ),IF(D_I="SI",(Datos!L23-Datos!V23)/Datos!V23,(Datos!L23+Datos!AF23-(Datos!V23+Datos!AN23))/(Datos!V23+Datos!AN23))," - ")</f>
        <v>0.15459770114942528</v>
      </c>
      <c r="H23" s="401">
        <f>IF(ISNUMBER((Datos!M23-Datos!W23)/Datos!W23),(Datos!M23-Datos!W23)/Datos!W23," - ")</f>
        <v>-6.6750629722921909E-2</v>
      </c>
      <c r="I23" s="402">
        <f>IF(ISNUMBER((Tasas!C23-Datos!BE23)/Datos!BE23),(Tasas!C23-Datos!BE23)/Datos!BE23," - ")</f>
        <v>0.11626856647655137</v>
      </c>
      <c r="J23" s="400">
        <f>IF(ISNUMBER((Tasas!D23-Datos!BF23)/Datos!BF23),(Tasas!D23-Datos!BF23)/Datos!BF23," - ")</f>
        <v>-9.7731672523470189E-2</v>
      </c>
      <c r="K23" s="403">
        <f>IF(ISNUMBER((Tasas!E23-Datos!BG23)/Datos!BG23),(Tasas!E23-Datos!BG23)/Datos!BG23," - ")</f>
        <v>4.0651398452602331E-3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-0.16567443442762375</v>
      </c>
      <c r="E31" s="409">
        <f>IF(ISNUMBER(
   IF(J_V="SI",(Datos!J31-Datos!T31)/Datos!T31,(Datos!J31+Datos!Z31-(Datos!T31+Datos!AH31))/(Datos!T31+Datos!AH31))
     ),IF(J_V="SI",(Datos!J31-Datos!T31)/Datos!T31,(Datos!J31+Datos!Z31-(Datos!T31+Datos!AH31))/(Datos!T31+Datos!AH31))," - ")</f>
        <v>0.12606697307944845</v>
      </c>
      <c r="F31" s="409">
        <f>IF(ISNUMBER(
   IF(J_V="SI",(Datos!K31-Datos!U31)/Datos!U31,(Datos!K31+Datos!AA31-(Datos!U31+Datos!AI31))/(Datos!U31+Datos!AI31))
     ),IF(J_V="SI",(Datos!K31-Datos!U31)/Datos!U31,(Datos!K31+Datos!AA31-(Datos!U31+Datos!AI31))/(Datos!U31+Datos!AI31))," - ")</f>
        <v>8.7120261109716296E-2</v>
      </c>
      <c r="G31" s="410">
        <f>IF(ISNUMBER(
   IF(J_V="SI",(Datos!L31-Datos!V31)/Datos!V31,(Datos!L31+Datos!AB31-(Datos!V31+Datos!AJ31))/(Datos!V31+Datos!AJ31))
     ),IF(J_V="SI",(Datos!L31-Datos!V31)/Datos!V31,(Datos!L31+Datos!AB31-(Datos!V31+Datos!AJ31))/(Datos!V31+Datos!AJ31))," - ")</f>
        <v>-5.0764525993883793E-2</v>
      </c>
      <c r="H31" s="411">
        <f>IF(ISNUMBER((Datos!M31-Datos!W31)/Datos!W31),(Datos!M31-Datos!W31)/Datos!W31," - ")</f>
        <v>3.6330608537693009E-2</v>
      </c>
      <c r="I31" s="408">
        <f>IF(ISNUMBER((Tasas!C31-Datos!BE31)/Datos!BE31),(Tasas!C31-Datos!BE31)/Datos!BE31," - ")</f>
        <v>-0.12683489769830003</v>
      </c>
      <c r="J31" s="409">
        <f>IF(ISNUMBER((Tasas!D31-Datos!BF31)/Datos!BF31),(Tasas!D31-Datos!BF31)/Datos!BF31," - ")</f>
        <v>-0.2968544704570561</v>
      </c>
      <c r="K31" s="410">
        <f>IF(ISNUMBER((Tasas!E31-Datos!BG31)/Datos!BG31),(Tasas!E31-Datos!BG31)/Datos!BG31," - ")</f>
        <v>-3.8914970869883762E-2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0.26165069326893764</v>
      </c>
      <c r="E33" s="303">
        <f t="shared" si="1"/>
        <v>0.18121749168850992</v>
      </c>
      <c r="F33" s="303">
        <f t="shared" si="1"/>
        <v>0.47395911806565022</v>
      </c>
      <c r="G33" s="304">
        <f t="shared" si="1"/>
        <v>0.23845701978964132</v>
      </c>
      <c r="H33" s="310">
        <f t="shared" si="1"/>
        <v>0.15372856741235574</v>
      </c>
      <c r="I33" s="302">
        <f t="shared" si="1"/>
        <v>0.35993931490395453</v>
      </c>
      <c r="J33" s="303">
        <f t="shared" si="1"/>
        <v>0.20137587013984967</v>
      </c>
      <c r="K33" s="304">
        <f t="shared" si="1"/>
        <v>0.21759517267070175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sgJQqer/sioFhSQ7Fe3yWIawJJKJQFLkaUJRI4YcajQJg5izpmgad5Me8I6XCD9aAtYdZ3+ak4ng10RQmMvg==" saltValue="fhdBiiMSYeL8PmDGax6gZ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